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C:\Revised Paper Ternary Mixtures\"/>
    </mc:Choice>
  </mc:AlternateContent>
  <xr:revisionPtr revIDLastSave="0" documentId="13_ncr:1_{F4045155-DE52-48EB-97F6-AC079EC2A188}" xr6:coauthVersionLast="47" xr6:coauthVersionMax="47" xr10:uidLastSave="{00000000-0000-0000-0000-000000000000}"/>
  <bookViews>
    <workbookView xWindow="-108" yWindow="-108" windowWidth="23256" windowHeight="12456" activeTab="2" xr2:uid="{667C34DD-CD42-435E-AD2E-DC37FBD43DDD}"/>
  </bookViews>
  <sheets>
    <sheet name="Hoja3" sheetId="22" r:id="rId1"/>
    <sheet name="Hoja1" sheetId="1" r:id="rId2"/>
    <sheet name="Hoja2" sheetId="21" r:id="rId3"/>
    <sheet name="sCO2 Diagram" sheetId="20" r:id="rId4"/>
    <sheet name="100%sCO2" sheetId="4" r:id="rId5"/>
    <sheet name="100%sCF4(R14)" sheetId="19" r:id="rId6"/>
    <sheet name="100%Kr CIT223K" sheetId="18" r:id="rId7"/>
    <sheet name="100%Kr" sheetId="17" r:id="rId8"/>
    <sheet name="55%N2+45%Xe" sheetId="14" r:id="rId9"/>
    <sheet name="100%sNF3" sheetId="9" r:id="rId10"/>
    <sheet name="100%N2" sheetId="11" r:id="rId11"/>
    <sheet name="60%N2+40%O2" sheetId="12" r:id="rId12"/>
    <sheet name="70%_sCO2+30%_Ar" sheetId="3" r:id="rId13"/>
    <sheet name="80%_sCO2+20%_Kr" sheetId="5" r:id="rId14"/>
    <sheet name="70%_sCO2+30%_CO" sheetId="2" r:id="rId15"/>
    <sheet name="70%_sCO2+30%_CH4" sheetId="6" r:id="rId16"/>
    <sheet name="70%_sCO2+30%_NF3" sheetId="7" r:id="rId17"/>
    <sheet name="50%_sCO2+50%_NF3" sheetId="8" r:id="rId18"/>
    <sheet name="100%Neon" sheetId="15" r:id="rId19"/>
    <sheet name="100%Ar" sheetId="16" r:id="rId20"/>
    <sheet name="TurboFan Paper Data Input" sheetId="13" r:id="rId21"/>
  </sheets>
  <calcPr calcId="191029" calcOnSave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174" i="21" l="1"/>
  <c r="G174" i="21"/>
  <c r="A174" i="21"/>
  <c r="A175" i="21"/>
  <c r="I175" i="21"/>
  <c r="G175" i="21"/>
  <c r="I176" i="21"/>
  <c r="G176" i="21"/>
  <c r="A176" i="21"/>
  <c r="I177" i="21"/>
  <c r="G177" i="21"/>
  <c r="A177" i="21"/>
  <c r="I178" i="21"/>
  <c r="G178" i="21"/>
  <c r="A178" i="21"/>
  <c r="A179" i="21"/>
  <c r="I180" i="21"/>
  <c r="G180" i="21"/>
  <c r="A173" i="21"/>
  <c r="I181" i="21"/>
  <c r="G181" i="21"/>
  <c r="I184" i="21"/>
  <c r="G184" i="21"/>
  <c r="I213" i="21"/>
  <c r="G213" i="21"/>
  <c r="D213" i="21"/>
  <c r="A213" i="21" s="1"/>
  <c r="I188" i="21"/>
  <c r="G188" i="21"/>
  <c r="D188" i="21"/>
  <c r="A188" i="21" s="1"/>
  <c r="A118" i="21"/>
  <c r="A117" i="21"/>
  <c r="I116" i="21"/>
  <c r="G116" i="21"/>
  <c r="A116" i="21"/>
  <c r="I115" i="21"/>
  <c r="G115" i="21"/>
  <c r="A115" i="21"/>
  <c r="I114" i="21"/>
  <c r="G114" i="21"/>
  <c r="A114" i="21"/>
  <c r="I113" i="21"/>
  <c r="G113" i="21"/>
  <c r="A113" i="21"/>
  <c r="I112" i="21"/>
  <c r="G112" i="21"/>
  <c r="A112" i="21"/>
  <c r="I111" i="21"/>
  <c r="G111" i="21"/>
  <c r="A111" i="21"/>
  <c r="I110" i="21"/>
  <c r="G110" i="21"/>
  <c r="A110" i="21"/>
  <c r="I432" i="21"/>
  <c r="G432" i="21"/>
  <c r="A432" i="21"/>
  <c r="I431" i="21"/>
  <c r="G431" i="21"/>
  <c r="A431" i="21"/>
  <c r="I430" i="21"/>
  <c r="G430" i="21"/>
  <c r="A430" i="21"/>
  <c r="I429" i="21"/>
  <c r="G429" i="21"/>
  <c r="A429" i="21"/>
  <c r="I428" i="21"/>
  <c r="G428" i="21"/>
  <c r="A428" i="21"/>
  <c r="I427" i="21"/>
  <c r="G427" i="21"/>
  <c r="A427" i="21"/>
  <c r="I426" i="21"/>
  <c r="G426" i="21"/>
  <c r="A426" i="21"/>
  <c r="I425" i="21"/>
  <c r="G425" i="21"/>
  <c r="A425" i="21"/>
  <c r="A424" i="21"/>
  <c r="A423" i="21"/>
  <c r="A422" i="21"/>
  <c r="A421" i="21"/>
  <c r="A420" i="21"/>
  <c r="A419" i="21"/>
  <c r="A418" i="21"/>
  <c r="A417" i="21"/>
  <c r="A416" i="21"/>
  <c r="I410" i="21"/>
  <c r="G410" i="21"/>
  <c r="A410" i="21"/>
  <c r="I409" i="21"/>
  <c r="G409" i="21"/>
  <c r="A409" i="21"/>
  <c r="I408" i="21"/>
  <c r="G408" i="21"/>
  <c r="A408" i="21"/>
  <c r="I407" i="21"/>
  <c r="G407" i="21"/>
  <c r="A407" i="21"/>
  <c r="I406" i="21"/>
  <c r="G406" i="21"/>
  <c r="A406" i="21"/>
  <c r="I405" i="21"/>
  <c r="G405" i="21"/>
  <c r="A405" i="21"/>
  <c r="I404" i="21"/>
  <c r="G404" i="21"/>
  <c r="A404" i="21"/>
  <c r="I403" i="21"/>
  <c r="G403" i="21"/>
  <c r="A403" i="21"/>
  <c r="A402" i="21"/>
  <c r="A401" i="21"/>
  <c r="A400" i="21"/>
  <c r="A399" i="21"/>
  <c r="A398" i="21"/>
  <c r="A397" i="21"/>
  <c r="A396" i="21"/>
  <c r="A395" i="21"/>
  <c r="A394" i="21"/>
  <c r="I389" i="21"/>
  <c r="G389" i="21"/>
  <c r="A389" i="21"/>
  <c r="A388" i="21"/>
  <c r="A387" i="21"/>
  <c r="A386" i="21"/>
  <c r="A385" i="21"/>
  <c r="A384" i="21"/>
  <c r="A383" i="21"/>
  <c r="A382" i="21"/>
  <c r="A381" i="21"/>
  <c r="A380" i="21"/>
  <c r="A379" i="21"/>
  <c r="A378" i="21"/>
  <c r="A377" i="21"/>
  <c r="A376" i="21"/>
  <c r="A375" i="21"/>
  <c r="A374" i="21"/>
  <c r="I373" i="21"/>
  <c r="G373" i="21"/>
  <c r="A373" i="21"/>
  <c r="I372" i="21"/>
  <c r="G372" i="21"/>
  <c r="A372" i="21"/>
  <c r="I371" i="21"/>
  <c r="G371" i="21"/>
  <c r="A371" i="21"/>
  <c r="I370" i="21"/>
  <c r="G370" i="21"/>
  <c r="A370" i="21"/>
  <c r="I369" i="21"/>
  <c r="G369" i="21"/>
  <c r="A369" i="21"/>
  <c r="I368" i="21"/>
  <c r="G368" i="21"/>
  <c r="A368" i="21"/>
  <c r="I367" i="21"/>
  <c r="G367" i="21"/>
  <c r="A367" i="21"/>
  <c r="I366" i="21"/>
  <c r="G366" i="21"/>
  <c r="A366" i="21"/>
  <c r="I365" i="21"/>
  <c r="G365" i="21"/>
  <c r="A365" i="21"/>
  <c r="I360" i="21"/>
  <c r="G360" i="21"/>
  <c r="A360" i="21"/>
  <c r="A359" i="21"/>
  <c r="A358" i="21"/>
  <c r="A357" i="21"/>
  <c r="A356" i="21"/>
  <c r="A355" i="21"/>
  <c r="A354" i="21"/>
  <c r="A353" i="21"/>
  <c r="A352" i="21"/>
  <c r="A351" i="21"/>
  <c r="A350" i="21"/>
  <c r="A349" i="21"/>
  <c r="A348" i="21"/>
  <c r="A347" i="21"/>
  <c r="A346" i="21"/>
  <c r="A345" i="21"/>
  <c r="I344" i="21"/>
  <c r="G344" i="21"/>
  <c r="A344" i="21"/>
  <c r="I343" i="21"/>
  <c r="G343" i="21"/>
  <c r="A343" i="21"/>
  <c r="I342" i="21"/>
  <c r="G342" i="21"/>
  <c r="A342" i="21"/>
  <c r="I341" i="21"/>
  <c r="G341" i="21"/>
  <c r="A341" i="21"/>
  <c r="I340" i="21"/>
  <c r="G340" i="21"/>
  <c r="A340" i="21"/>
  <c r="I339" i="21"/>
  <c r="G339" i="21"/>
  <c r="A339" i="21"/>
  <c r="I338" i="21"/>
  <c r="G338" i="21"/>
  <c r="A338" i="21"/>
  <c r="I337" i="21"/>
  <c r="G337" i="21"/>
  <c r="A337" i="21"/>
  <c r="I336" i="21"/>
  <c r="G336" i="21"/>
  <c r="A336" i="21"/>
  <c r="A331" i="21"/>
  <c r="A330" i="21"/>
  <c r="A329" i="21"/>
  <c r="A328" i="21"/>
  <c r="A327" i="21"/>
  <c r="A326" i="21"/>
  <c r="A325" i="21"/>
  <c r="A324" i="21"/>
  <c r="A323" i="21"/>
  <c r="A319" i="21"/>
  <c r="I318" i="21"/>
  <c r="G318" i="21"/>
  <c r="A318" i="21"/>
  <c r="A317" i="21"/>
  <c r="A316" i="21"/>
  <c r="A315" i="21"/>
  <c r="A314" i="21"/>
  <c r="A313" i="21"/>
  <c r="A312" i="21"/>
  <c r="A311" i="21"/>
  <c r="A310" i="21"/>
  <c r="A309" i="21"/>
  <c r="I308" i="21"/>
  <c r="G308" i="21"/>
  <c r="A308" i="21"/>
  <c r="I307" i="21"/>
  <c r="G307" i="21"/>
  <c r="A307" i="21"/>
  <c r="I306" i="21"/>
  <c r="G306" i="21"/>
  <c r="A306" i="21"/>
  <c r="A305" i="21"/>
  <c r="I304" i="21"/>
  <c r="G304" i="21"/>
  <c r="A304" i="21"/>
  <c r="I303" i="21"/>
  <c r="G303" i="21"/>
  <c r="A303" i="21"/>
  <c r="I302" i="21"/>
  <c r="G302" i="21"/>
  <c r="A302" i="21"/>
  <c r="I301" i="21"/>
  <c r="G301" i="21"/>
  <c r="A301" i="21"/>
  <c r="A296" i="21"/>
  <c r="A295" i="21"/>
  <c r="A294" i="21"/>
  <c r="A293" i="21"/>
  <c r="A292" i="21"/>
  <c r="A291" i="21"/>
  <c r="A290" i="21"/>
  <c r="A289" i="21"/>
  <c r="A288" i="21"/>
  <c r="A284" i="21"/>
  <c r="I283" i="21"/>
  <c r="G283" i="21"/>
  <c r="A283" i="21"/>
  <c r="A282" i="21"/>
  <c r="A281" i="21"/>
  <c r="A280" i="21"/>
  <c r="A279" i="21"/>
  <c r="A278" i="21"/>
  <c r="A277" i="21"/>
  <c r="A276" i="21"/>
  <c r="A275" i="21"/>
  <c r="A274" i="21"/>
  <c r="I273" i="21"/>
  <c r="G273" i="21"/>
  <c r="A273" i="21"/>
  <c r="I272" i="21"/>
  <c r="G272" i="21"/>
  <c r="A272" i="21"/>
  <c r="I271" i="21"/>
  <c r="G271" i="21"/>
  <c r="A271" i="21"/>
  <c r="A270" i="21"/>
  <c r="I269" i="21"/>
  <c r="G269" i="21"/>
  <c r="A269" i="21"/>
  <c r="I268" i="21"/>
  <c r="G268" i="21"/>
  <c r="A268" i="21"/>
  <c r="I267" i="21"/>
  <c r="G267" i="21"/>
  <c r="A267" i="21"/>
  <c r="I266" i="21"/>
  <c r="G266" i="21"/>
  <c r="A266" i="21"/>
  <c r="A261" i="21"/>
  <c r="A260" i="21"/>
  <c r="A259" i="21"/>
  <c r="A258" i="21"/>
  <c r="A257" i="21"/>
  <c r="A256" i="21"/>
  <c r="A255" i="21"/>
  <c r="A254" i="21"/>
  <c r="A253" i="21"/>
  <c r="A249" i="21"/>
  <c r="A248" i="21"/>
  <c r="A247" i="21"/>
  <c r="A246" i="21"/>
  <c r="A245" i="21"/>
  <c r="A244" i="21"/>
  <c r="A243" i="21"/>
  <c r="A242" i="21"/>
  <c r="A241" i="21"/>
  <c r="A237" i="21"/>
  <c r="A236" i="21"/>
  <c r="A235" i="21"/>
  <c r="A234" i="21"/>
  <c r="A233" i="21"/>
  <c r="A232" i="21"/>
  <c r="A231" i="21"/>
  <c r="A230" i="21"/>
  <c r="A229" i="21"/>
  <c r="A225" i="21"/>
  <c r="A224" i="21"/>
  <c r="A223" i="21"/>
  <c r="A222" i="21"/>
  <c r="A221" i="21"/>
  <c r="A220" i="21"/>
  <c r="A219" i="21"/>
  <c r="A218" i="21"/>
  <c r="A217" i="21"/>
  <c r="I207" i="21"/>
  <c r="G207" i="21"/>
  <c r="I212" i="21"/>
  <c r="G212" i="21"/>
  <c r="A212" i="21"/>
  <c r="I211" i="21"/>
  <c r="G211" i="21"/>
  <c r="A211" i="21"/>
  <c r="I210" i="21"/>
  <c r="G210" i="21"/>
  <c r="A210" i="21"/>
  <c r="A209" i="21"/>
  <c r="A208" i="21"/>
  <c r="A207" i="21"/>
  <c r="A206" i="21"/>
  <c r="A205" i="21"/>
  <c r="A204" i="21"/>
  <c r="A203" i="21"/>
  <c r="A202" i="21"/>
  <c r="I201" i="21"/>
  <c r="G201" i="21"/>
  <c r="A201" i="21"/>
  <c r="I200" i="21"/>
  <c r="G200" i="21"/>
  <c r="A200" i="21"/>
  <c r="I199" i="21"/>
  <c r="G199" i="21"/>
  <c r="A199" i="21"/>
  <c r="I198" i="21"/>
  <c r="G198" i="21"/>
  <c r="A198" i="21"/>
  <c r="I197" i="21"/>
  <c r="G197" i="21"/>
  <c r="A197" i="21"/>
  <c r="I196" i="21"/>
  <c r="G196" i="21"/>
  <c r="A196" i="21"/>
  <c r="I195" i="21"/>
  <c r="G195" i="21"/>
  <c r="A195" i="21"/>
  <c r="I194" i="21"/>
  <c r="G194" i="21"/>
  <c r="A194" i="21"/>
  <c r="I193" i="21"/>
  <c r="G193" i="21"/>
  <c r="A193" i="21"/>
  <c r="A192" i="21"/>
  <c r="I182" i="21"/>
  <c r="G182" i="21"/>
  <c r="I183" i="21"/>
  <c r="G183" i="21"/>
  <c r="I187" i="21"/>
  <c r="G187" i="21"/>
  <c r="A187" i="21"/>
  <c r="I186" i="21"/>
  <c r="G186" i="21"/>
  <c r="A186" i="21"/>
  <c r="I185" i="21"/>
  <c r="G185" i="21"/>
  <c r="A185" i="21"/>
  <c r="A184" i="21"/>
  <c r="A183" i="21"/>
  <c r="A182" i="21"/>
  <c r="A181" i="21"/>
  <c r="A180" i="21"/>
  <c r="A172" i="21"/>
  <c r="A171" i="21"/>
  <c r="A170" i="21"/>
  <c r="I169" i="21"/>
  <c r="G169" i="21"/>
  <c r="A169" i="21"/>
  <c r="I168" i="21"/>
  <c r="G168" i="21"/>
  <c r="A168" i="21"/>
  <c r="I167" i="21"/>
  <c r="G167" i="21"/>
  <c r="A167" i="21"/>
  <c r="I166" i="21"/>
  <c r="G166" i="21"/>
  <c r="A166" i="21"/>
  <c r="I165" i="21"/>
  <c r="G165" i="21"/>
  <c r="A165" i="21"/>
  <c r="I164" i="21"/>
  <c r="G164" i="21"/>
  <c r="A164" i="21"/>
  <c r="I163" i="21"/>
  <c r="G163" i="21"/>
  <c r="A163" i="21"/>
  <c r="I162" i="21"/>
  <c r="G162" i="21"/>
  <c r="A162" i="21"/>
  <c r="I161" i="21"/>
  <c r="G161" i="21"/>
  <c r="A161" i="21"/>
  <c r="A160" i="21"/>
  <c r="I75" i="21"/>
  <c r="G75" i="21"/>
  <c r="A75" i="21"/>
  <c r="I61" i="21"/>
  <c r="G61" i="21"/>
  <c r="A61" i="21"/>
  <c r="I60" i="21"/>
  <c r="G60" i="21"/>
  <c r="A60" i="21"/>
  <c r="I59" i="21"/>
  <c r="G59" i="21"/>
  <c r="A59" i="21"/>
  <c r="I58" i="21"/>
  <c r="G58" i="21"/>
  <c r="A58" i="21"/>
  <c r="I57" i="21"/>
  <c r="G57" i="21"/>
  <c r="A57" i="21"/>
  <c r="I56" i="21"/>
  <c r="G56" i="21"/>
  <c r="A56" i="21"/>
  <c r="I55" i="21"/>
  <c r="G55" i="21"/>
  <c r="A55" i="21"/>
  <c r="I74" i="21"/>
  <c r="G74" i="21"/>
  <c r="A74" i="21"/>
  <c r="I54" i="21"/>
  <c r="G54" i="21"/>
  <c r="A54" i="21"/>
  <c r="I49" i="21"/>
  <c r="G49" i="21"/>
  <c r="A49" i="21"/>
  <c r="I48" i="21"/>
  <c r="G48" i="21"/>
  <c r="A48" i="21"/>
  <c r="I47" i="21"/>
  <c r="G47" i="21"/>
  <c r="A47" i="21"/>
  <c r="I46" i="21"/>
  <c r="G46" i="21"/>
  <c r="A46" i="21"/>
  <c r="I45" i="21"/>
  <c r="G45" i="21"/>
  <c r="A45" i="21"/>
  <c r="I44" i="21"/>
  <c r="G44" i="21"/>
  <c r="A44" i="21"/>
  <c r="I43" i="21"/>
  <c r="G43" i="21"/>
  <c r="A43" i="21"/>
  <c r="I42" i="21"/>
  <c r="G42" i="21"/>
  <c r="A42" i="21"/>
  <c r="I41" i="21"/>
  <c r="G41" i="21"/>
  <c r="A41" i="21"/>
  <c r="I40" i="21"/>
  <c r="G40" i="21"/>
  <c r="A40" i="21"/>
  <c r="I96" i="21"/>
  <c r="G96" i="21"/>
  <c r="A96" i="21"/>
  <c r="I95" i="21"/>
  <c r="G95" i="21"/>
  <c r="A95" i="21"/>
  <c r="I94" i="21"/>
  <c r="G94" i="21"/>
  <c r="A94" i="21"/>
  <c r="I93" i="21"/>
  <c r="G93" i="21"/>
  <c r="A93" i="21"/>
  <c r="I92" i="21"/>
  <c r="G92" i="21"/>
  <c r="A92" i="21"/>
  <c r="I30" i="21"/>
  <c r="G30" i="21"/>
  <c r="I35" i="21"/>
  <c r="G35" i="21"/>
  <c r="A35" i="21"/>
  <c r="I34" i="21"/>
  <c r="G34" i="21"/>
  <c r="A34" i="21"/>
  <c r="I33" i="21"/>
  <c r="G33" i="21"/>
  <c r="A33" i="21"/>
  <c r="I32" i="21"/>
  <c r="G32" i="21"/>
  <c r="A32" i="21"/>
  <c r="I31" i="21"/>
  <c r="G31" i="21"/>
  <c r="A31" i="21"/>
  <c r="A30" i="21"/>
  <c r="I29" i="21"/>
  <c r="G29" i="21"/>
  <c r="A29" i="21"/>
  <c r="I91" i="21"/>
  <c r="G91" i="21"/>
  <c r="A91" i="21"/>
  <c r="I90" i="21"/>
  <c r="G90" i="21"/>
  <c r="A90" i="21"/>
  <c r="I89" i="21"/>
  <c r="G89" i="21"/>
  <c r="A89" i="21"/>
  <c r="I76" i="21"/>
  <c r="G76" i="21"/>
  <c r="A76" i="21"/>
  <c r="I78" i="21"/>
  <c r="G78" i="21"/>
  <c r="A78" i="21"/>
  <c r="I80" i="21"/>
  <c r="G80" i="21"/>
  <c r="A80" i="21"/>
  <c r="I81" i="21"/>
  <c r="G81" i="21"/>
  <c r="A81" i="21"/>
  <c r="I82" i="21"/>
  <c r="G82" i="21"/>
  <c r="A82" i="21"/>
  <c r="I77" i="21"/>
  <c r="G77" i="21"/>
  <c r="A77" i="21"/>
  <c r="I15" i="21"/>
  <c r="G15" i="21"/>
  <c r="A15" i="21"/>
  <c r="I14" i="21"/>
  <c r="G14" i="21"/>
  <c r="A14" i="21"/>
  <c r="I13" i="21"/>
  <c r="G13" i="21"/>
  <c r="A13" i="21"/>
  <c r="I20" i="21"/>
  <c r="G20" i="21"/>
  <c r="A20" i="21"/>
  <c r="I19" i="21"/>
  <c r="G19" i="21"/>
  <c r="A19" i="21"/>
  <c r="I18" i="21"/>
  <c r="G18" i="21"/>
  <c r="A18" i="21"/>
  <c r="I17" i="21"/>
  <c r="G17" i="21"/>
  <c r="A17" i="21"/>
  <c r="I133" i="21"/>
  <c r="G133" i="21"/>
  <c r="A133" i="21"/>
  <c r="I132" i="21"/>
  <c r="G132" i="21"/>
  <c r="A132" i="21"/>
  <c r="I131" i="21"/>
  <c r="G131" i="21"/>
  <c r="A131" i="21"/>
  <c r="I130" i="21"/>
  <c r="G130" i="21"/>
  <c r="A130" i="21"/>
  <c r="I126" i="21"/>
  <c r="G126" i="21"/>
  <c r="A126" i="21"/>
  <c r="I127" i="21"/>
  <c r="G127" i="21"/>
  <c r="A127" i="21"/>
  <c r="I128" i="21"/>
  <c r="G128" i="21"/>
  <c r="A128" i="21"/>
  <c r="I129" i="21"/>
  <c r="G129" i="21"/>
  <c r="A129" i="21"/>
  <c r="I119" i="21"/>
  <c r="G119" i="21"/>
  <c r="A119" i="21"/>
  <c r="I121" i="21"/>
  <c r="G121" i="21"/>
  <c r="A121" i="21"/>
  <c r="I120" i="21"/>
  <c r="G120" i="21"/>
  <c r="A120" i="21"/>
  <c r="I125" i="21"/>
  <c r="G125" i="21"/>
  <c r="A125" i="21"/>
  <c r="I124" i="21"/>
  <c r="G124" i="21"/>
  <c r="A124" i="21"/>
  <c r="I123" i="21"/>
  <c r="G123" i="21"/>
  <c r="A123" i="21"/>
  <c r="I139" i="21"/>
  <c r="G139" i="21"/>
  <c r="I140" i="21"/>
  <c r="G140" i="21"/>
  <c r="I141" i="21"/>
  <c r="G141" i="21"/>
  <c r="I142" i="21"/>
  <c r="G142" i="21"/>
  <c r="I143" i="21"/>
  <c r="G143" i="21"/>
  <c r="I149" i="21"/>
  <c r="G149" i="21"/>
  <c r="I148" i="21"/>
  <c r="G148" i="21"/>
  <c r="I147" i="21"/>
  <c r="G147" i="21"/>
  <c r="G146" i="21"/>
  <c r="I146" i="21"/>
  <c r="A143" i="21"/>
  <c r="A142" i="21"/>
  <c r="A141" i="21"/>
  <c r="A140" i="21"/>
  <c r="A139" i="21"/>
  <c r="A149" i="21"/>
  <c r="A148" i="21"/>
  <c r="A147" i="21"/>
  <c r="A146" i="21"/>
  <c r="I145" i="21"/>
  <c r="G145" i="21"/>
  <c r="A145" i="21"/>
  <c r="I144" i="21"/>
  <c r="G144" i="21"/>
  <c r="A144" i="21"/>
  <c r="I155" i="21"/>
  <c r="G155" i="21"/>
  <c r="A155" i="21"/>
  <c r="I154" i="21"/>
  <c r="G154" i="21"/>
  <c r="A154" i="21"/>
  <c r="I153" i="21"/>
  <c r="G153" i="21"/>
  <c r="A153" i="21"/>
  <c r="I152" i="21"/>
  <c r="G152" i="21"/>
  <c r="A152" i="21"/>
  <c r="I151" i="21"/>
  <c r="G151" i="21"/>
  <c r="A151" i="21"/>
  <c r="I150" i="21"/>
  <c r="G150" i="21"/>
  <c r="A150" i="21"/>
  <c r="A84" i="21"/>
  <c r="I83" i="21"/>
  <c r="G83" i="21"/>
  <c r="A83" i="21"/>
  <c r="I79" i="21"/>
  <c r="G79" i="21"/>
  <c r="A79" i="21"/>
  <c r="I73" i="21"/>
  <c r="G73" i="21"/>
  <c r="A73" i="21"/>
  <c r="I72" i="21"/>
  <c r="G72" i="21"/>
  <c r="A72" i="21"/>
  <c r="I71" i="21"/>
  <c r="G71" i="21"/>
  <c r="A71" i="21"/>
  <c r="A70" i="21"/>
  <c r="I69" i="21"/>
  <c r="G69" i="21"/>
  <c r="A69" i="21"/>
  <c r="I68" i="21"/>
  <c r="G68" i="21"/>
  <c r="A68" i="21"/>
  <c r="I67" i="21"/>
  <c r="G67" i="21"/>
  <c r="A67" i="21"/>
  <c r="I66" i="21"/>
  <c r="G66" i="21"/>
  <c r="A66" i="21"/>
  <c r="I134" i="21"/>
  <c r="G134" i="21"/>
  <c r="A134" i="21"/>
  <c r="I109" i="21"/>
  <c r="G109" i="21"/>
  <c r="A109" i="21"/>
  <c r="I122" i="21"/>
  <c r="G122" i="21"/>
  <c r="A122" i="21"/>
  <c r="I108" i="21"/>
  <c r="G108" i="21"/>
  <c r="A108" i="21"/>
  <c r="I107" i="21"/>
  <c r="G107" i="21"/>
  <c r="A107" i="21"/>
  <c r="I106" i="21"/>
  <c r="G106" i="21"/>
  <c r="A106" i="21"/>
  <c r="I105" i="21"/>
  <c r="G105" i="21"/>
  <c r="A105" i="21"/>
  <c r="I104" i="21"/>
  <c r="G104" i="21"/>
  <c r="A104" i="21"/>
  <c r="I103" i="21"/>
  <c r="G103" i="21"/>
  <c r="A103" i="21"/>
  <c r="I102" i="21"/>
  <c r="G102" i="21"/>
  <c r="A102" i="21"/>
  <c r="I101" i="21"/>
  <c r="G101" i="21"/>
  <c r="A101" i="21"/>
  <c r="A88" i="21"/>
  <c r="A53" i="21"/>
  <c r="A39" i="21"/>
  <c r="I28" i="21"/>
  <c r="G28" i="21"/>
  <c r="A28" i="21"/>
  <c r="A27" i="21"/>
  <c r="A3" i="21"/>
  <c r="I23" i="21"/>
  <c r="G23" i="21"/>
  <c r="A23" i="21"/>
  <c r="I22" i="21"/>
  <c r="G22" i="21"/>
  <c r="A22" i="21"/>
  <c r="I21" i="21"/>
  <c r="G21" i="21"/>
  <c r="A21" i="21"/>
  <c r="I16" i="21"/>
  <c r="G16" i="21"/>
  <c r="A16" i="21"/>
  <c r="I12" i="21"/>
  <c r="G12" i="21"/>
  <c r="A12" i="21"/>
  <c r="I11" i="21"/>
  <c r="G11" i="21"/>
  <c r="A11" i="21"/>
  <c r="I10" i="21"/>
  <c r="G10" i="21"/>
  <c r="A10" i="21"/>
  <c r="I9" i="21"/>
  <c r="G9" i="21"/>
  <c r="A9" i="21"/>
  <c r="I8" i="21"/>
  <c r="G8" i="21"/>
  <c r="A8" i="21"/>
  <c r="I7" i="21"/>
  <c r="G7" i="21"/>
  <c r="A7" i="21"/>
  <c r="I6" i="21"/>
  <c r="G6" i="21"/>
  <c r="A6" i="21"/>
  <c r="I5" i="21"/>
  <c r="G5" i="21"/>
  <c r="A5" i="21"/>
  <c r="I4" i="21"/>
  <c r="G4" i="21"/>
  <c r="A4" i="21"/>
  <c r="I2" i="1"/>
  <c r="G2" i="1"/>
  <c r="A2" i="1"/>
  <c r="I18" i="1"/>
  <c r="G18" i="1"/>
  <c r="A18" i="1"/>
  <c r="I34" i="1"/>
  <c r="G34" i="1"/>
  <c r="A34" i="1"/>
  <c r="I19" i="1"/>
  <c r="G19" i="1"/>
  <c r="A19" i="1"/>
  <c r="I132" i="1"/>
  <c r="G132" i="1"/>
  <c r="A132" i="1"/>
  <c r="I133" i="1"/>
  <c r="G133" i="1"/>
  <c r="A133" i="1"/>
  <c r="I131" i="1"/>
  <c r="G131" i="1"/>
  <c r="A131" i="1"/>
  <c r="I65" i="1"/>
  <c r="G65" i="1"/>
  <c r="A65" i="1"/>
  <c r="I51" i="1"/>
  <c r="G51" i="1"/>
  <c r="A51" i="1"/>
  <c r="I62" i="1"/>
  <c r="G62" i="1"/>
  <c r="I28" i="1"/>
  <c r="G28" i="1"/>
  <c r="I27" i="1"/>
  <c r="G27" i="1"/>
  <c r="A75" i="1"/>
  <c r="A76" i="1"/>
  <c r="A77" i="1"/>
  <c r="A78" i="1"/>
  <c r="A79" i="1"/>
  <c r="A101" i="1"/>
  <c r="A102" i="1"/>
  <c r="A103" i="1"/>
  <c r="A104" i="1"/>
  <c r="I105" i="1"/>
  <c r="G105" i="1"/>
  <c r="A23" i="1"/>
  <c r="I23" i="1"/>
  <c r="I125" i="1"/>
  <c r="G125" i="1"/>
  <c r="I127" i="1"/>
  <c r="G127" i="1"/>
  <c r="I126" i="1"/>
  <c r="G126" i="1"/>
  <c r="I129" i="1"/>
  <c r="G129" i="1"/>
  <c r="A129" i="1"/>
  <c r="I128" i="1"/>
  <c r="G128" i="1"/>
  <c r="A128" i="1"/>
  <c r="I53" i="1"/>
  <c r="G53" i="1"/>
  <c r="A53" i="1"/>
  <c r="I52" i="1"/>
  <c r="G52" i="1"/>
  <c r="A52" i="1"/>
  <c r="I50" i="1"/>
  <c r="G50" i="1"/>
  <c r="A50" i="1"/>
  <c r="I49" i="1"/>
  <c r="G49" i="1"/>
  <c r="A49" i="1"/>
  <c r="I48" i="1"/>
  <c r="G48" i="1"/>
  <c r="A48" i="1"/>
  <c r="I47" i="1"/>
  <c r="G47" i="1"/>
  <c r="A47" i="1"/>
  <c r="I17" i="1"/>
  <c r="G17" i="1"/>
  <c r="A17" i="1"/>
  <c r="I36" i="1"/>
  <c r="G36" i="1"/>
  <c r="A36" i="1"/>
  <c r="I35" i="1"/>
  <c r="G35" i="1"/>
  <c r="A35" i="1"/>
  <c r="I20" i="1"/>
  <c r="G20" i="1"/>
  <c r="A20" i="1"/>
  <c r="I21" i="1"/>
  <c r="G21" i="1"/>
  <c r="A21" i="1"/>
  <c r="I37" i="1"/>
  <c r="G37" i="1"/>
  <c r="A37" i="1"/>
  <c r="I30" i="1"/>
  <c r="G30" i="1"/>
  <c r="I29" i="1"/>
  <c r="A30" i="1"/>
  <c r="A61" i="1"/>
  <c r="A62" i="1"/>
  <c r="I63" i="1"/>
  <c r="G63" i="1"/>
  <c r="A63" i="1"/>
  <c r="A105" i="1"/>
  <c r="A106" i="1"/>
  <c r="I107" i="1"/>
  <c r="G107" i="1"/>
  <c r="D107" i="1"/>
  <c r="A107" i="1" s="1"/>
  <c r="I93" i="1"/>
  <c r="G93" i="1"/>
  <c r="D93" i="1"/>
  <c r="A93" i="1" s="1"/>
  <c r="I80" i="1"/>
  <c r="G80" i="1"/>
  <c r="A80" i="1"/>
  <c r="A127" i="1"/>
  <c r="I46" i="1"/>
  <c r="G46" i="1"/>
  <c r="A46" i="1"/>
  <c r="I100" i="1"/>
  <c r="G100" i="1"/>
  <c r="A100" i="1"/>
  <c r="A87" i="1"/>
  <c r="I38" i="1"/>
  <c r="G38" i="1"/>
  <c r="A38" i="1"/>
  <c r="I39" i="1"/>
  <c r="G39" i="1"/>
  <c r="A39" i="1"/>
  <c r="I33" i="1"/>
  <c r="G33" i="1"/>
  <c r="A33" i="1"/>
  <c r="I32" i="1"/>
  <c r="G32" i="1"/>
  <c r="A32" i="1"/>
  <c r="I31" i="1"/>
  <c r="G31" i="1"/>
  <c r="A31" i="1"/>
  <c r="I74" i="1"/>
  <c r="G74" i="1"/>
  <c r="A74" i="1"/>
  <c r="I64" i="1"/>
  <c r="G64" i="1"/>
  <c r="A64" i="1"/>
  <c r="G66" i="1"/>
  <c r="I66" i="1"/>
  <c r="A66" i="1"/>
  <c r="A67" i="1"/>
  <c r="A60" i="1"/>
  <c r="I60" i="1"/>
  <c r="G60" i="1"/>
  <c r="I22" i="1"/>
  <c r="G22" i="1"/>
  <c r="A22" i="1"/>
  <c r="I12" i="1"/>
  <c r="G12" i="1"/>
  <c r="A12" i="1"/>
  <c r="I14" i="1"/>
  <c r="G14" i="1"/>
  <c r="A14" i="1"/>
  <c r="I15" i="1"/>
  <c r="G15" i="1"/>
  <c r="A15" i="1"/>
  <c r="I16" i="1"/>
  <c r="G16" i="1"/>
  <c r="A16" i="1"/>
  <c r="I13" i="1"/>
  <c r="G13" i="1"/>
  <c r="A13" i="1"/>
  <c r="I124" i="1"/>
  <c r="G124" i="1"/>
  <c r="A126" i="1"/>
  <c r="A125" i="1"/>
  <c r="A124" i="1"/>
  <c r="Q15" i="17"/>
  <c r="I59" i="1"/>
  <c r="G59" i="1"/>
  <c r="G45" i="1"/>
  <c r="I45" i="1"/>
  <c r="I44" i="1"/>
  <c r="G44" i="1"/>
  <c r="I43" i="1"/>
  <c r="G43" i="1"/>
  <c r="G29" i="1"/>
  <c r="G11" i="1"/>
  <c r="I11" i="1"/>
  <c r="G10" i="1"/>
  <c r="I10" i="1"/>
  <c r="I9" i="1"/>
  <c r="G9" i="1"/>
  <c r="A45" i="1"/>
  <c r="A44" i="1"/>
  <c r="A43" i="1"/>
  <c r="A29" i="1"/>
  <c r="A11" i="1"/>
  <c r="A28" i="1"/>
  <c r="A27" i="1"/>
  <c r="A10" i="1"/>
  <c r="A9" i="1"/>
  <c r="A73" i="1"/>
  <c r="A72" i="1"/>
  <c r="A71" i="1"/>
  <c r="A59" i="1"/>
  <c r="A58" i="1"/>
  <c r="A57" i="1"/>
  <c r="I58" i="1"/>
  <c r="G58" i="1"/>
  <c r="I57" i="1"/>
  <c r="G57" i="1"/>
  <c r="I112" i="1"/>
  <c r="G112" i="1"/>
  <c r="I111" i="1"/>
  <c r="G111" i="1"/>
  <c r="A112" i="1"/>
  <c r="A111" i="1"/>
  <c r="I98" i="1"/>
  <c r="I99" i="1"/>
  <c r="G99" i="1"/>
  <c r="G98" i="1"/>
  <c r="I97" i="1"/>
  <c r="G97" i="1"/>
  <c r="A99" i="1"/>
  <c r="A98" i="1"/>
  <c r="A97" i="1"/>
  <c r="I86" i="1"/>
  <c r="G86" i="1"/>
  <c r="I85" i="1"/>
  <c r="G85" i="1"/>
  <c r="A85" i="1"/>
  <c r="A86" i="1"/>
  <c r="I84" i="1"/>
  <c r="G84" i="1"/>
  <c r="A84" i="1"/>
  <c r="I73" i="1"/>
  <c r="G73" i="1"/>
  <c r="I71" i="1"/>
  <c r="G71" i="1"/>
  <c r="I72" i="1"/>
  <c r="G72" i="1"/>
  <c r="U15" i="13"/>
  <c r="U11" i="13"/>
  <c r="U6" i="13"/>
  <c r="U14" i="13"/>
  <c r="U10" i="13"/>
  <c r="U5" i="13"/>
</calcChain>
</file>

<file path=xl/sharedStrings.xml><?xml version="1.0" encoding="utf-8"?>
<sst xmlns="http://schemas.openxmlformats.org/spreadsheetml/2006/main" count="870" uniqueCount="290">
  <si>
    <t>K</t>
  </si>
  <si>
    <t>kPa</t>
  </si>
  <si>
    <t>The study is done, and the cycle are
analyzed under steady-state cruise operating condition at case 10.</t>
  </si>
  <si>
    <t>The 8th International Supercritical CO2 Power Cycles Symposium
February 27 – 29, 2024, San Antonio, Texas
Paper #22
sCO2 Waste Heat Recovery System for Turbofan Engine –
System Optimization and Component Design</t>
  </si>
  <si>
    <t xml:space="preserve">TIT </t>
  </si>
  <si>
    <t>TOT</t>
  </si>
  <si>
    <t>Turb. Effic.</t>
  </si>
  <si>
    <t>CIT</t>
  </si>
  <si>
    <t>RCIT</t>
  </si>
  <si>
    <t>RCOT</t>
  </si>
  <si>
    <t>Recomp.Effic.</t>
  </si>
  <si>
    <t>COT</t>
  </si>
  <si>
    <t>Comp. Effic.</t>
  </si>
  <si>
    <t>TIP</t>
  </si>
  <si>
    <t>CIP</t>
  </si>
  <si>
    <t>Working Fluid</t>
  </si>
  <si>
    <t>CIP (kPa)</t>
  </si>
  <si>
    <t>CIT (K)</t>
  </si>
  <si>
    <t>TIT (K)</t>
  </si>
  <si>
    <t>TIP (kPa)</t>
  </si>
  <si>
    <t>HT Pinch Point (K)</t>
  </si>
  <si>
    <t>LT Pinch Point (K)</t>
  </si>
  <si>
    <t>Cycle Efficiency (%)</t>
  </si>
  <si>
    <t>90%CO2+10%CO</t>
  </si>
  <si>
    <t>80%CO2+20%CO</t>
  </si>
  <si>
    <t>70%CO2+30%CO</t>
  </si>
  <si>
    <t>60%CO2+40%CO</t>
  </si>
  <si>
    <t>100%CO2</t>
  </si>
  <si>
    <t>Recomp. Fraction</t>
  </si>
  <si>
    <t>HT UA (kW/K)</t>
  </si>
  <si>
    <t>LT UA (kW/K)</t>
  </si>
  <si>
    <t>Turbine Isoentropic Efficiency</t>
  </si>
  <si>
    <t>Compressor Isoentropic Efficiency</t>
  </si>
  <si>
    <t>Ambient Temperature (ºC)</t>
  </si>
  <si>
    <t>90%CO2+10%N2</t>
  </si>
  <si>
    <t>80%CO2+20%N2</t>
  </si>
  <si>
    <t>60%CO2+40%N2</t>
  </si>
  <si>
    <t>67%CO2+33%N2</t>
  </si>
  <si>
    <t>90%CO2+10%Ar</t>
  </si>
  <si>
    <t>80%CO2+20%Ar</t>
  </si>
  <si>
    <t>60%CO2+40%Ar</t>
  </si>
  <si>
    <t>70%CO2+30%Ar</t>
  </si>
  <si>
    <t>90%CO2+10%Kr</t>
  </si>
  <si>
    <t>90%CO2+10%Ne</t>
  </si>
  <si>
    <t>80%CO2+20%Ne</t>
  </si>
  <si>
    <t>90%CO2+10%CH4</t>
  </si>
  <si>
    <t>80%CO2+20%CH4</t>
  </si>
  <si>
    <t>70%CO2+30%CH4</t>
  </si>
  <si>
    <t>60%CO2+40%CH4</t>
  </si>
  <si>
    <t>Power Output (kW)</t>
  </si>
  <si>
    <t>90%CO2+10%NF3</t>
  </si>
  <si>
    <t>80%CO2+20%NF3</t>
  </si>
  <si>
    <t>70%CO2+30%NF3</t>
  </si>
  <si>
    <t>60%CO2+40%NF3</t>
  </si>
  <si>
    <t>90%CO2+10%CF4</t>
  </si>
  <si>
    <t>80%CO2+20%CF4</t>
  </si>
  <si>
    <t>70%CO2+30%CF4</t>
  </si>
  <si>
    <t>60%CO2+40%CF4</t>
  </si>
  <si>
    <t>80%CO2+20%Kr</t>
  </si>
  <si>
    <t>70%CO2+30%Kr</t>
  </si>
  <si>
    <t>60%CO2+40%Kr</t>
  </si>
  <si>
    <t>90%CO2+10%Xe</t>
  </si>
  <si>
    <t>80%CO2+20%Xe</t>
  </si>
  <si>
    <t>70%CO2+30%Xe</t>
  </si>
  <si>
    <t>60%CO2+40%Xe</t>
  </si>
  <si>
    <t>70%CO2+30%Ne</t>
  </si>
  <si>
    <t>60%CO2+40%Ne</t>
  </si>
  <si>
    <t>100%NF3</t>
  </si>
  <si>
    <t>30%CO2+70%NF3</t>
  </si>
  <si>
    <t>44%CO2+56%NF3</t>
  </si>
  <si>
    <t>56%CO2+44%NF3</t>
  </si>
  <si>
    <t>67%CO2+33%NF3</t>
  </si>
  <si>
    <t>100%CH4</t>
  </si>
  <si>
    <t>10%CO2+90%CH4</t>
  </si>
  <si>
    <t>20%CO2+80%CH4</t>
  </si>
  <si>
    <t>30%CO2+70%CH4</t>
  </si>
  <si>
    <t>50%CO2+50%CH4</t>
  </si>
  <si>
    <t>100%CO</t>
  </si>
  <si>
    <t>100%CF4</t>
  </si>
  <si>
    <t>50%CO2+50%CF4</t>
  </si>
  <si>
    <t>40%CO2+60%CF4</t>
  </si>
  <si>
    <t>30%CO2+70%CF4</t>
  </si>
  <si>
    <t>20%CO2+80%NF3</t>
  </si>
  <si>
    <t>100%N2</t>
  </si>
  <si>
    <t>100%Ar</t>
  </si>
  <si>
    <t>100%Kr</t>
  </si>
  <si>
    <t>100%Xe</t>
  </si>
  <si>
    <t>100%Ne</t>
  </si>
  <si>
    <t>10%CO2+90%Ar</t>
  </si>
  <si>
    <t>10%CO+90%Ar</t>
  </si>
  <si>
    <t>10%CO2+90%NF3</t>
  </si>
  <si>
    <t>20%CO2+80%CF4</t>
  </si>
  <si>
    <t>10%CO2+90%CF4</t>
  </si>
  <si>
    <t>50%CO2+50%Kr</t>
  </si>
  <si>
    <t>40%CO2+60%Kr</t>
  </si>
  <si>
    <t>30%CO2+70%Kr</t>
  </si>
  <si>
    <t>20%CO2+80%Kr</t>
  </si>
  <si>
    <t>10%CO2+90%Kr</t>
  </si>
  <si>
    <t>50%CO2+50%Ar</t>
  </si>
  <si>
    <t>40%CO2+60%Ar</t>
  </si>
  <si>
    <t>30%CO2+70%Ar</t>
  </si>
  <si>
    <t>20%CO2+80%Ar</t>
  </si>
  <si>
    <t>10%CO2+90%Ne</t>
  </si>
  <si>
    <t>20%CO2+80%Ne</t>
  </si>
  <si>
    <t>30%CO2+70%Ne</t>
  </si>
  <si>
    <t>40%CO2+60%Ne</t>
  </si>
  <si>
    <t>50%CO2+50%Ne</t>
  </si>
  <si>
    <t>50%CO2+50%Xe</t>
  </si>
  <si>
    <t>40%CO2+60%Xe</t>
  </si>
  <si>
    <t>30%CO2+70%Xe</t>
  </si>
  <si>
    <t>20%CO2+80%Xe</t>
  </si>
  <si>
    <t>10%CO2+90%Xe</t>
  </si>
  <si>
    <t>50%CO2+50%CO</t>
  </si>
  <si>
    <t>40%CO2+60%CO</t>
  </si>
  <si>
    <t>30%CO2+70%CO</t>
  </si>
  <si>
    <t>20%CO2+80%CO</t>
  </si>
  <si>
    <t>10%CO2+90%CO</t>
  </si>
  <si>
    <t>10%CO2+90%N2</t>
  </si>
  <si>
    <t>20%CO2+80%N2</t>
  </si>
  <si>
    <t>30%CO2+70%N2</t>
  </si>
  <si>
    <t>40%CO2+60%N2</t>
  </si>
  <si>
    <t>50%CO2+50%N2</t>
  </si>
  <si>
    <t>36%CO2+64%CH4</t>
  </si>
  <si>
    <t>CO</t>
  </si>
  <si>
    <t>Argon</t>
  </si>
  <si>
    <t>N2</t>
  </si>
  <si>
    <t>30%CO2+40%Kr+30%Ar</t>
  </si>
  <si>
    <t>50%CO2+10%CH4+40%Ar</t>
  </si>
  <si>
    <t>50%CO2+10%Xe+40%Ar</t>
  </si>
  <si>
    <t>40%CO2+10%Xe+50%Ar</t>
  </si>
  <si>
    <t>40%CO2+15%Xe+45%Ar</t>
  </si>
  <si>
    <t>10%CO2+80%NF3+10%Ar</t>
  </si>
  <si>
    <t>50%CO2+10%CF4+40%Ar</t>
  </si>
  <si>
    <t>47%CO2+10%NF3+43%Ar</t>
  </si>
  <si>
    <t>30%CO2+10%SF6+60%Ar</t>
  </si>
  <si>
    <t>60%CO2+10%Xe+30%Ar</t>
  </si>
  <si>
    <t>70%CO2+10%Xe+20%Ar</t>
  </si>
  <si>
    <t>80%CO2+10%Xe+10%Ar</t>
  </si>
  <si>
    <t>90%CO2+5%Xe+5%Ar</t>
  </si>
  <si>
    <t>40%CO2+40%Kr+20%Ar</t>
  </si>
  <si>
    <t>50%CO2+40%Kr+10%Ar</t>
  </si>
  <si>
    <t>10%CO2+70%NF3+20%Ar</t>
  </si>
  <si>
    <t>10%CO2+60%NF3+30%Ar</t>
  </si>
  <si>
    <t>10%CO2+50%NF3+40%Ar</t>
  </si>
  <si>
    <t>10%CO2+40%NF3+50%Ar</t>
  </si>
  <si>
    <t>10%CO2+30%NF3+60%Ar</t>
  </si>
  <si>
    <t>30%CO2+10%Xe+60%Ar</t>
  </si>
  <si>
    <t>20%CO2+10%Xe+70%Ar</t>
  </si>
  <si>
    <t>10%CO2+10%Xe+80%Ar</t>
  </si>
  <si>
    <t>10%Xe+90%Ar</t>
  </si>
  <si>
    <t>20%CO2+40%Kr+40%Ar</t>
  </si>
  <si>
    <t>10%CO2+40%Kr+50%Ar</t>
  </si>
  <si>
    <t>55%CO2+40%Kr+5%Ar</t>
  </si>
  <si>
    <t>25%CO2+40%Kr+35%Ar</t>
  </si>
  <si>
    <t>50%CO2+10%Kr+40%Ar</t>
  </si>
  <si>
    <t>80%CO2+10%Kr+10%Ar</t>
  </si>
  <si>
    <t>70%CO2+10%Kr+20%Ar</t>
  </si>
  <si>
    <t>60%CO2+10%Kr+30%Ar</t>
  </si>
  <si>
    <t>85%CO2+10%Kr+5%Ar</t>
  </si>
  <si>
    <t>20%CO2+10%Kr+70%Ar</t>
  </si>
  <si>
    <t>30%CO2+10%Kr+60%Ar</t>
  </si>
  <si>
    <t>40%CO2+10%Kr+50%Ar</t>
  </si>
  <si>
    <t>60%CO2+10%NF3+30%Ar</t>
  </si>
  <si>
    <t>70%CO2+10%NF3+20%Ar</t>
  </si>
  <si>
    <t>90%CO2+5%NF3+5%Ar</t>
  </si>
  <si>
    <t>80%CO2+10%NF3+10%Ar</t>
  </si>
  <si>
    <t>30%CO2+10%NF3+60%Ar</t>
  </si>
  <si>
    <t>20%CO2+10%NF3+70%Ar</t>
  </si>
  <si>
    <t>10%CO2+10%NF3+80%Ar</t>
  </si>
  <si>
    <t>10%CO2+20%NF3+70%Ar</t>
  </si>
  <si>
    <t>60%CO2+10%CH4+30%Ar</t>
  </si>
  <si>
    <t>70%CO2+10%CH4+20%Ar</t>
  </si>
  <si>
    <t>80%CO2+10%CH4+10%Ar</t>
  </si>
  <si>
    <t>40%CO2+10%CH4+50%Ar</t>
  </si>
  <si>
    <t>30%CO2+10%CH4+60%Ar</t>
  </si>
  <si>
    <t>20%CO2+10%CH4+70%Ar</t>
  </si>
  <si>
    <t>10%CO2+10%CH4+80%Ar</t>
  </si>
  <si>
    <t>45%CO2+10%CH4+45%Ar</t>
  </si>
  <si>
    <t>10%CO2+80%CH4+10%Ar</t>
  </si>
  <si>
    <t>10%CO2+70%CH4+20%Ar</t>
  </si>
  <si>
    <t>10%CO2+60%CH4+30%Ar</t>
  </si>
  <si>
    <t>10%CO2+50%CH4+40%Ar</t>
  </si>
  <si>
    <t>10%CO2+40%CH4+50%Ar</t>
  </si>
  <si>
    <t>10%CO2+30%CH4+60%Ar</t>
  </si>
  <si>
    <t>10%CO2+20%CH4+70%Ar</t>
  </si>
  <si>
    <t>10%CO2+10%CF4+80%Ar</t>
  </si>
  <si>
    <t>20%CO2+10%CF4+70%Ar</t>
  </si>
  <si>
    <t>30%CO2+10%CF4+60%Ar</t>
  </si>
  <si>
    <t>60%CO2+10%CF4+30%Ar</t>
  </si>
  <si>
    <t>70%CO2+10%CF4+20%Ar</t>
  </si>
  <si>
    <t>80%CO2+10%CF4+10%Ar</t>
  </si>
  <si>
    <t>90%CO2+5%CF4+5%Ar</t>
  </si>
  <si>
    <t>10%CO2+80%CF4+10%Ar</t>
  </si>
  <si>
    <t>10%CO2+70%CF4+20%Ar</t>
  </si>
  <si>
    <t>10%CO2+60%CF4+30%Ar</t>
  </si>
  <si>
    <t>10%CO2+50%CF4+40%Ar</t>
  </si>
  <si>
    <t>10%CO2+40%CF4+50%Ar</t>
  </si>
  <si>
    <t>10%CO2+30%CF4+60%Ar</t>
  </si>
  <si>
    <t>10%CO2+20%CF4+70%Ar</t>
  </si>
  <si>
    <t>Table 1. Replacing NF3 with Ar in the sCO2-NF3 Blend</t>
  </si>
  <si>
    <t>Table 2. Lowering sCO2-NF3 Critical Temperature adding Ar</t>
  </si>
  <si>
    <t>Table 3. Replacing CF4 with Ar in the sCO2-CF4 Blend</t>
  </si>
  <si>
    <t>Table 4. Lowering sCO2-CF4 Critical Temperature adding Ar</t>
  </si>
  <si>
    <t>Table 5. Replacing CH4 with Ar in the sCO2-CH4 Blend</t>
  </si>
  <si>
    <t>Table 6. Lowering sCO2-CH4 Critical Temperature adding Ar</t>
  </si>
  <si>
    <t>Table 7. Increasing sCO2-Kr power cycle efficiency by adding Ar</t>
  </si>
  <si>
    <t>Table 8. Increasing sCO2-Xe power cycle efficiency by adding Ar</t>
  </si>
  <si>
    <t>40%CO2+10%CF4+50%Ar</t>
  </si>
  <si>
    <t>55%CO2+10%CF4+35%Ar</t>
  </si>
  <si>
    <t>Table 9. Replacing NF3 with N2 in the sCO2-NF3 Blend</t>
  </si>
  <si>
    <t>90%CO2+5%NF3+5%N2</t>
  </si>
  <si>
    <t>80%CO2+10%NF3+10%N2</t>
  </si>
  <si>
    <t>70%CO2+10%NF3+20%N2</t>
  </si>
  <si>
    <t>60%CO2+10%NF3+30%N2</t>
  </si>
  <si>
    <t>30%CO2+10%NF3+60%N2</t>
  </si>
  <si>
    <t>20%CO2+10%NF3+70%N2</t>
  </si>
  <si>
    <t>10%CO2+10%NF3+80%N2</t>
  </si>
  <si>
    <t>Table 10. Replacing NF3 with CO in the sCO2-NF3 Blend</t>
  </si>
  <si>
    <t>90%CO2+5%NF3+5%CO</t>
  </si>
  <si>
    <t>80%CO2+10%NF3+10%CO</t>
  </si>
  <si>
    <t>70%CO2+10%NF3+20%CO</t>
  </si>
  <si>
    <t>60%CO2+10%NF3+30%CO</t>
  </si>
  <si>
    <t>47%CO2+10%NF3+43%CO</t>
  </si>
  <si>
    <t>30%CO2+10%NF3+60%CO</t>
  </si>
  <si>
    <t>20%CO2+10%NF3+70%CO</t>
  </si>
  <si>
    <t>10%CO2+10%NF3+80%CO</t>
  </si>
  <si>
    <t>Table 11. Lowering sCO2-NF3 Critical Temperature adding N2</t>
  </si>
  <si>
    <t>Table 12. Lowering sCO2-NF3 Critical Temperature adding CO</t>
  </si>
  <si>
    <t>10%CO2+80%NF3+10%N2</t>
  </si>
  <si>
    <t>10%CO2+70%NF3+20%N2</t>
  </si>
  <si>
    <t>10%CO2+20%NF3+70%N2</t>
  </si>
  <si>
    <t>10%CO2+60%NF3+30%N2</t>
  </si>
  <si>
    <t>10%CO2+50%NF3+40%N2</t>
  </si>
  <si>
    <t>10%CO2+40%NF3+50%N2</t>
  </si>
  <si>
    <t>10%CO2+30%NF3+60%N2</t>
  </si>
  <si>
    <t>10%CO2+80%NF3+10%CO</t>
  </si>
  <si>
    <t>10%CO2+70%NF3+20%CO</t>
  </si>
  <si>
    <t>10%CO2+60%NF3+30%CO</t>
  </si>
  <si>
    <t>10%CO2+50%NF3+40%CO</t>
  </si>
  <si>
    <t>10%CO2+40%NF3+50%CO</t>
  </si>
  <si>
    <t>10%CO2+30%NF3+60%CO</t>
  </si>
  <si>
    <t>10%CO2+20%NF3+70%CO</t>
  </si>
  <si>
    <t>Table 13. Lowering sCO2-CF4 Critical Temperature adding N2</t>
  </si>
  <si>
    <t>Table 14. Lowering sCO2-CF4 Critical Temperature adding CO</t>
  </si>
  <si>
    <t>10%CO2+80%CF4+10%N2</t>
  </si>
  <si>
    <t>10%CO2+70%CF4+20%N2</t>
  </si>
  <si>
    <t>10%CO2+60%CF4+30%N2</t>
  </si>
  <si>
    <t>10%CO2+50%CF4+40%N2</t>
  </si>
  <si>
    <t>10%CO2+40%CF4+50%N2</t>
  </si>
  <si>
    <t>10%CO2+30%CF4+60%N2</t>
  </si>
  <si>
    <t>10%CO2+20%CF4+70%N2</t>
  </si>
  <si>
    <t>10%CO2+10%CF4+80%N2</t>
  </si>
  <si>
    <t>Table 15. Replacing CH4 with N2 in the sCO2-CH4 Blend</t>
  </si>
  <si>
    <t>Table 16. Lowering sCO2-CH4 Critical Temperature adding N2</t>
  </si>
  <si>
    <t>Table 17. Replacing CH4 with CO in the sCO2-CH4 Blend</t>
  </si>
  <si>
    <t>Table 18. Lowering sCO2-CH4 Critical Temperature adding CO</t>
  </si>
  <si>
    <t>Table 19. Increasing sCO2-Kr power cycle efficiency by adding N2</t>
  </si>
  <si>
    <t>Table 20. Increasing sCO2-Kr power cycle efficiency by adding CO</t>
  </si>
  <si>
    <t>Table 21. Increasing sCO2-Xe power cycle efficiency by adding N2</t>
  </si>
  <si>
    <t>Table 22. Increasing sCO2-Xe power cycle efficiency by adding CO</t>
  </si>
  <si>
    <t>Kr</t>
  </si>
  <si>
    <t>Tcr</t>
  </si>
  <si>
    <t>Pcr</t>
  </si>
  <si>
    <t>Dcr</t>
  </si>
  <si>
    <t>Ar</t>
  </si>
  <si>
    <t xml:space="preserve">CO </t>
  </si>
  <si>
    <t>Xe</t>
  </si>
  <si>
    <t>Ne</t>
  </si>
  <si>
    <t>10%CO2+80%Kr+10%Ar</t>
  </si>
  <si>
    <t>10%CO2+70%Kr+20%Ar</t>
  </si>
  <si>
    <t>10%CO2+60%Kr+30%Ar</t>
  </si>
  <si>
    <t>10%CO2+50%Kr+40%Ar</t>
  </si>
  <si>
    <t>10%CO2+30%Kr+60%Ar</t>
  </si>
  <si>
    <t>10%CO2+20%Kr+70%Ar</t>
  </si>
  <si>
    <t>10%CO2+10%Kr+80%Ar</t>
  </si>
  <si>
    <t>10%CO2+5%Kr+85%Ar</t>
  </si>
  <si>
    <t>50%CO2+10%NF3+40%N2</t>
  </si>
  <si>
    <t>40%CO2+10%NF3+50%N2</t>
  </si>
  <si>
    <t>50%CO2+10%NF3+20%N2+20%Ar</t>
  </si>
  <si>
    <t>40%CO2+10%NF3+20%N2+30%Ar</t>
  </si>
  <si>
    <t>30%CO2+10%NF3+20%N2+40%Ar</t>
  </si>
  <si>
    <t>20%CO2+10%NF3+20%N2+50%Ar</t>
  </si>
  <si>
    <t>10%CO2+10%NF3+20%N2+60%Ar</t>
  </si>
  <si>
    <t>5%CO2+10%NF3+20%N2+65%Ar</t>
  </si>
  <si>
    <r>
      <t>CO</t>
    </r>
    <r>
      <rPr>
        <b/>
        <sz val="9"/>
        <color theme="1"/>
        <rFont val="Aptos Narrow"/>
        <family val="2"/>
        <scheme val="minor"/>
      </rPr>
      <t>2</t>
    </r>
  </si>
  <si>
    <r>
      <t>NF</t>
    </r>
    <r>
      <rPr>
        <b/>
        <sz val="9"/>
        <color theme="1"/>
        <rFont val="Aptos Narrow"/>
        <family val="2"/>
        <scheme val="minor"/>
      </rPr>
      <t>3</t>
    </r>
  </si>
  <si>
    <r>
      <t>CF</t>
    </r>
    <r>
      <rPr>
        <b/>
        <sz val="9"/>
        <color theme="1"/>
        <rFont val="Aptos Narrow"/>
        <family val="2"/>
        <scheme val="minor"/>
      </rPr>
      <t>4</t>
    </r>
  </si>
  <si>
    <r>
      <t>CH</t>
    </r>
    <r>
      <rPr>
        <b/>
        <sz val="9"/>
        <color theme="1"/>
        <rFont val="Aptos Narrow"/>
        <family val="2"/>
        <scheme val="minor"/>
      </rPr>
      <t>4</t>
    </r>
  </si>
  <si>
    <r>
      <t>N</t>
    </r>
    <r>
      <rPr>
        <b/>
        <sz val="9"/>
        <color theme="1"/>
        <rFont val="Aptos Narrow"/>
        <family val="2"/>
        <scheme val="minor"/>
      </rPr>
      <t>2</t>
    </r>
  </si>
  <si>
    <r>
      <t>F</t>
    </r>
    <r>
      <rPr>
        <b/>
        <sz val="9"/>
        <color theme="1"/>
        <rFont val="Aptos Narrow"/>
        <family val="2"/>
        <scheme val="minor"/>
      </rPr>
      <t>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</si>
</sst>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.##"/>
  </numFmts>
  <fonts count="11" x14ac:knownFonts="1">
    <font>
      <sz val="11"/>
      <color theme="1"/>
      <name val="Aptos Narrow"/>
      <family val="2"/>
      <scheme val="minor"/>
    </font>
    <font>
      <sz val="16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b/>
      <sz val="14"/>
      <color theme="1"/>
      <name val="Aptos Narrow"/>
      <family val="2"/>
      <scheme val="minor"/>
    </font>
    <font>
      <sz val="11"/>
      <color rgb="FF000000"/>
      <name val="Times New Roman"/>
      <family val="1"/>
    </font>
    <font>
      <b/>
      <sz val="11"/>
      <color rgb="FF000000"/>
      <name val="Times New Roman"/>
      <family val="1"/>
    </font>
    <font>
      <sz val="8"/>
      <name val="Aptos Narrow"/>
      <family val="2"/>
      <scheme val="minor"/>
    </font>
    <font>
      <b/>
      <sz val="14"/>
      <color rgb="FF000000"/>
      <name val="Times New Roman"/>
      <family val="1"/>
    </font>
    <font>
      <b/>
      <sz val="11"/>
      <color theme="1"/>
      <name val="Aptos Narrow"/>
      <family val="2"/>
      <scheme val="minor"/>
    </font>
    <font>
      <sz val="10"/>
      <color theme="1"/>
      <name val="Times New Roman"/>
      <family val="1"/>
    </font>
    <font>
      <b/>
      <sz val="9"/>
      <color theme="1"/>
      <name val="Aptos Narrow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</fills>
  <borders count="29">
    <border>
      <left/>
      <right/>
      <top/>
      <bottom/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/>
      <diagonal/>
    </border>
    <border>
      <left/>
      <right/>
      <top/>
      <bottom style="thick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n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/>
      <right/>
      <top style="thick">
        <color auto="1"/>
      </top>
      <bottom style="medium">
        <color auto="1"/>
      </bottom>
      <diagonal/>
    </border>
    <border>
      <left style="thick">
        <color auto="1"/>
      </left>
      <right style="medium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ck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ck">
        <color auto="1"/>
      </top>
      <bottom style="thin">
        <color auto="1"/>
      </bottom>
      <diagonal/>
    </border>
    <border>
      <left style="thick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medium">
        <color auto="1"/>
      </right>
      <top style="thin">
        <color auto="1"/>
      </top>
      <bottom style="thick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ck">
        <color auto="1"/>
      </bottom>
      <diagonal/>
    </border>
    <border>
      <left style="medium">
        <color auto="1"/>
      </left>
      <right style="thick">
        <color auto="1"/>
      </right>
      <top style="thin">
        <color auto="1"/>
      </top>
      <bottom style="thick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ck">
        <color auto="1"/>
      </right>
      <top/>
      <bottom style="thin">
        <color auto="1"/>
      </bottom>
      <diagonal/>
    </border>
  </borders>
  <cellStyleXfs count="1">
    <xf numFmtId="0" fontId="0" fillId="0" borderId="0"/>
  </cellStyleXfs>
  <cellXfs count="141">
    <xf numFmtId="0" fontId="0" fillId="0" borderId="0" xfId="0"/>
    <xf numFmtId="0" fontId="1" fillId="0" borderId="0" xfId="0" applyFont="1"/>
    <xf numFmtId="0" fontId="0" fillId="2" borderId="0" xfId="0" applyFill="1"/>
    <xf numFmtId="0" fontId="0" fillId="0" borderId="0" xfId="0" applyFill="1"/>
    <xf numFmtId="0" fontId="4" fillId="0" borderId="0" xfId="0" applyFont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 wrapText="1"/>
    </xf>
    <xf numFmtId="0" fontId="4" fillId="0" borderId="0" xfId="0" applyFont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2" xfId="0" applyFont="1" applyBorder="1" applyAlignment="1">
      <alignment horizontal="center" vertical="center" wrapText="1"/>
    </xf>
    <xf numFmtId="0" fontId="4" fillId="0" borderId="0" xfId="0" applyFont="1" applyFill="1" applyAlignment="1">
      <alignment horizontal="center" vertical="center" wrapText="1"/>
    </xf>
    <xf numFmtId="0" fontId="4" fillId="0" borderId="0" xfId="0" applyFont="1" applyFill="1" applyAlignment="1">
      <alignment horizontal="center" vertical="center"/>
    </xf>
    <xf numFmtId="2" fontId="4" fillId="0" borderId="0" xfId="0" applyNumberFormat="1" applyFont="1" applyBorder="1" applyAlignment="1">
      <alignment horizontal="center" vertical="center" wrapText="1"/>
    </xf>
    <xf numFmtId="0" fontId="0" fillId="0" borderId="0" xfId="0" applyAlignment="1">
      <alignment horizontal="left"/>
    </xf>
    <xf numFmtId="0" fontId="5" fillId="0" borderId="0" xfId="0" applyFont="1" applyFill="1" applyBorder="1" applyAlignment="1">
      <alignment horizontal="left" vertical="center" wrapText="1"/>
    </xf>
    <xf numFmtId="0" fontId="4" fillId="0" borderId="4" xfId="0" applyFont="1" applyBorder="1" applyAlignment="1">
      <alignment horizontal="left" vertical="center" wrapText="1"/>
    </xf>
    <xf numFmtId="0" fontId="4" fillId="0" borderId="5" xfId="0" applyFont="1" applyBorder="1" applyAlignment="1">
      <alignment horizontal="right" vertical="center" wrapText="1"/>
    </xf>
    <xf numFmtId="0" fontId="4" fillId="0" borderId="6" xfId="0" applyFont="1" applyBorder="1" applyAlignment="1">
      <alignment horizontal="left" vertical="center" wrapText="1"/>
    </xf>
    <xf numFmtId="0" fontId="4" fillId="0" borderId="7" xfId="0" applyFont="1" applyBorder="1" applyAlignment="1">
      <alignment horizontal="right" vertical="center"/>
    </xf>
    <xf numFmtId="0" fontId="4" fillId="0" borderId="6" xfId="0" applyFont="1" applyFill="1" applyBorder="1" applyAlignment="1">
      <alignment horizontal="left" vertical="center" wrapText="1"/>
    </xf>
    <xf numFmtId="0" fontId="4" fillId="0" borderId="7" xfId="0" applyFont="1" applyFill="1" applyBorder="1" applyAlignment="1">
      <alignment horizontal="right" vertical="center"/>
    </xf>
    <xf numFmtId="0" fontId="4" fillId="0" borderId="7" xfId="0" applyFont="1" applyBorder="1" applyAlignment="1">
      <alignment horizontal="right" vertical="center" wrapText="1"/>
    </xf>
    <xf numFmtId="0" fontId="4" fillId="0" borderId="8" xfId="0" applyFont="1" applyBorder="1" applyAlignment="1">
      <alignment horizontal="left" vertical="center" wrapText="1"/>
    </xf>
    <xf numFmtId="0" fontId="4" fillId="0" borderId="9" xfId="0" applyFont="1" applyBorder="1" applyAlignment="1">
      <alignment horizontal="right" vertical="center"/>
    </xf>
    <xf numFmtId="0" fontId="0" fillId="3" borderId="0" xfId="0" applyFill="1"/>
    <xf numFmtId="0" fontId="4" fillId="2" borderId="0" xfId="0" applyFont="1" applyFill="1" applyAlignment="1">
      <alignment horizontal="center" vertical="center"/>
    </xf>
    <xf numFmtId="2" fontId="4" fillId="0" borderId="2" xfId="0" applyNumberFormat="1" applyFont="1" applyBorder="1" applyAlignment="1">
      <alignment horizontal="center" vertical="center" wrapText="1"/>
    </xf>
    <xf numFmtId="0" fontId="4" fillId="2" borderId="0" xfId="0" applyFont="1" applyFill="1" applyBorder="1" applyAlignment="1">
      <alignment horizontal="center" vertical="center" wrapText="1"/>
    </xf>
    <xf numFmtId="0" fontId="4" fillId="0" borderId="0" xfId="0" applyFont="1" applyFill="1" applyBorder="1" applyAlignment="1">
      <alignment horizontal="center" vertical="center"/>
    </xf>
    <xf numFmtId="0" fontId="5" fillId="0" borderId="3" xfId="0" applyFont="1" applyFill="1" applyBorder="1" applyAlignment="1">
      <alignment horizontal="center" vertical="center" wrapText="1"/>
    </xf>
    <xf numFmtId="0" fontId="5" fillId="0" borderId="3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2" xfId="0" applyFont="1" applyFill="1" applyBorder="1" applyAlignment="1">
      <alignment horizontal="center" vertical="center"/>
    </xf>
    <xf numFmtId="2" fontId="4" fillId="0" borderId="3" xfId="0" applyNumberFormat="1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 wrapText="1"/>
    </xf>
    <xf numFmtId="3" fontId="4" fillId="0" borderId="3" xfId="0" applyNumberFormat="1" applyFont="1" applyBorder="1" applyAlignment="1">
      <alignment horizontal="center" vertical="center" wrapText="1"/>
    </xf>
    <xf numFmtId="0" fontId="4" fillId="4" borderId="0" xfId="0" applyFont="1" applyFill="1" applyAlignment="1">
      <alignment horizontal="center" vertical="center"/>
    </xf>
    <xf numFmtId="0" fontId="4" fillId="4" borderId="0" xfId="0" applyFont="1" applyFill="1" applyBorder="1" applyAlignment="1">
      <alignment horizontal="center" vertical="center" wrapText="1"/>
    </xf>
    <xf numFmtId="0" fontId="5" fillId="0" borderId="2" xfId="0" applyFont="1" applyFill="1" applyBorder="1" applyAlignment="1">
      <alignment horizontal="center" vertical="center" wrapText="1"/>
    </xf>
    <xf numFmtId="2" fontId="4" fillId="0" borderId="0" xfId="0" applyNumberFormat="1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horizontal="center" vertical="center" wrapText="1"/>
    </xf>
    <xf numFmtId="164" fontId="4" fillId="0" borderId="0" xfId="0" applyNumberFormat="1" applyFont="1" applyFill="1" applyAlignment="1">
      <alignment horizontal="center" vertical="center"/>
    </xf>
    <xf numFmtId="0" fontId="4" fillId="0" borderId="2" xfId="0" applyFont="1" applyFill="1" applyBorder="1" applyAlignment="1">
      <alignment horizontal="center" vertical="center" wrapText="1"/>
    </xf>
    <xf numFmtId="2" fontId="4" fillId="0" borderId="2" xfId="0" applyNumberFormat="1" applyFont="1" applyFill="1" applyBorder="1" applyAlignment="1">
      <alignment horizontal="center" vertical="center" wrapText="1"/>
    </xf>
    <xf numFmtId="0" fontId="5" fillId="0" borderId="0" xfId="0" applyFont="1" applyFill="1" applyBorder="1" applyAlignment="1">
      <alignment horizontal="center" vertical="center" wrapText="1"/>
    </xf>
    <xf numFmtId="0" fontId="5" fillId="0" borderId="0" xfId="0" applyFont="1" applyFill="1" applyBorder="1" applyAlignment="1">
      <alignment horizontal="center" vertical="center"/>
    </xf>
    <xf numFmtId="0" fontId="4" fillId="2" borderId="0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4" fillId="0" borderId="3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 wrapText="1"/>
    </xf>
    <xf numFmtId="3" fontId="4" fillId="0" borderId="1" xfId="0" applyNumberFormat="1" applyFont="1" applyFill="1" applyBorder="1" applyAlignment="1">
      <alignment horizontal="center" vertical="center" wrapText="1"/>
    </xf>
    <xf numFmtId="2" fontId="4" fillId="0" borderId="1" xfId="0" applyNumberFormat="1" applyFont="1" applyBorder="1" applyAlignment="1">
      <alignment horizontal="center" vertical="center" wrapText="1"/>
    </xf>
    <xf numFmtId="3" fontId="4" fillId="0" borderId="1" xfId="0" applyNumberFormat="1" applyFont="1" applyBorder="1" applyAlignment="1">
      <alignment horizontal="center" vertical="center" wrapText="1"/>
    </xf>
    <xf numFmtId="0" fontId="4" fillId="4" borderId="1" xfId="0" applyFont="1" applyFill="1" applyBorder="1" applyAlignment="1">
      <alignment horizontal="center" vertical="center" wrapText="1"/>
    </xf>
    <xf numFmtId="0" fontId="0" fillId="0" borderId="0" xfId="0" applyFill="1" applyAlignment="1">
      <alignment horizontal="left"/>
    </xf>
    <xf numFmtId="0" fontId="4" fillId="5" borderId="0" xfId="0" applyFont="1" applyFill="1" applyBorder="1" applyAlignment="1">
      <alignment horizontal="center" vertical="center" wrapText="1"/>
    </xf>
    <xf numFmtId="0" fontId="4" fillId="5" borderId="0" xfId="0" applyFont="1" applyFill="1" applyBorder="1" applyAlignment="1">
      <alignment horizontal="center" vertical="center"/>
    </xf>
    <xf numFmtId="0" fontId="4" fillId="5" borderId="0" xfId="0" applyFont="1" applyFill="1" applyAlignment="1">
      <alignment horizontal="center" vertical="center"/>
    </xf>
    <xf numFmtId="2" fontId="4" fillId="5" borderId="0" xfId="0" applyNumberFormat="1" applyFont="1" applyFill="1" applyBorder="1" applyAlignment="1">
      <alignment horizontal="center" vertical="center" wrapText="1"/>
    </xf>
    <xf numFmtId="0" fontId="4" fillId="3" borderId="0" xfId="0" applyFont="1" applyFill="1" applyBorder="1" applyAlignment="1">
      <alignment horizontal="center" vertical="center" wrapText="1"/>
    </xf>
    <xf numFmtId="0" fontId="4" fillId="3" borderId="0" xfId="0" applyFont="1" applyFill="1" applyBorder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2" fontId="4" fillId="3" borderId="0" xfId="0" applyNumberFormat="1" applyFont="1" applyFill="1" applyBorder="1" applyAlignment="1">
      <alignment horizontal="center" vertical="center" wrapText="1"/>
    </xf>
    <xf numFmtId="0" fontId="4" fillId="6" borderId="0" xfId="0" applyFont="1" applyFill="1" applyAlignment="1">
      <alignment horizontal="center" vertical="center"/>
    </xf>
    <xf numFmtId="0" fontId="4" fillId="7" borderId="0" xfId="0" applyFont="1" applyFill="1" applyBorder="1" applyAlignment="1">
      <alignment horizontal="center" vertical="center" wrapText="1"/>
    </xf>
    <xf numFmtId="0" fontId="4" fillId="7" borderId="0" xfId="0" applyFont="1" applyFill="1" applyBorder="1" applyAlignment="1">
      <alignment horizontal="center" vertical="center"/>
    </xf>
    <xf numFmtId="0" fontId="4" fillId="7" borderId="0" xfId="0" applyFont="1" applyFill="1" applyAlignment="1">
      <alignment horizontal="center" vertical="center"/>
    </xf>
    <xf numFmtId="0" fontId="4" fillId="5" borderId="2" xfId="0" applyFont="1" applyFill="1" applyBorder="1" applyAlignment="1">
      <alignment horizontal="center" vertical="center" wrapText="1"/>
    </xf>
    <xf numFmtId="0" fontId="4" fillId="5" borderId="2" xfId="0" applyFont="1" applyFill="1" applyBorder="1" applyAlignment="1">
      <alignment horizontal="center" vertical="center"/>
    </xf>
    <xf numFmtId="0" fontId="4" fillId="0" borderId="11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/>
    </xf>
    <xf numFmtId="2" fontId="4" fillId="0" borderId="11" xfId="0" applyNumberFormat="1" applyFont="1" applyBorder="1" applyAlignment="1">
      <alignment horizontal="center" vertical="center" wrapText="1"/>
    </xf>
    <xf numFmtId="0" fontId="5" fillId="0" borderId="13" xfId="0" applyFont="1" applyFill="1" applyBorder="1" applyAlignment="1">
      <alignment horizontal="center" vertical="center" wrapText="1"/>
    </xf>
    <xf numFmtId="0" fontId="5" fillId="0" borderId="10" xfId="0" applyFont="1" applyFill="1" applyBorder="1" applyAlignment="1">
      <alignment horizontal="center" vertical="center" wrapText="1"/>
    </xf>
    <xf numFmtId="0" fontId="5" fillId="0" borderId="10" xfId="0" applyFont="1" applyFill="1" applyBorder="1" applyAlignment="1">
      <alignment horizontal="center" vertical="center"/>
    </xf>
    <xf numFmtId="0" fontId="4" fillId="0" borderId="10" xfId="0" applyFont="1" applyFill="1" applyBorder="1" applyAlignment="1">
      <alignment horizontal="center" vertical="center"/>
    </xf>
    <xf numFmtId="2" fontId="4" fillId="0" borderId="10" xfId="0" applyNumberFormat="1" applyFont="1" applyFill="1" applyBorder="1" applyAlignment="1">
      <alignment horizontal="center" vertical="center" wrapText="1"/>
    </xf>
    <xf numFmtId="0" fontId="4" fillId="0" borderId="10" xfId="0" applyFont="1" applyFill="1" applyBorder="1" applyAlignment="1">
      <alignment horizontal="center" vertical="center" wrapText="1"/>
    </xf>
    <xf numFmtId="0" fontId="5" fillId="0" borderId="13" xfId="0" applyFont="1" applyBorder="1" applyAlignment="1">
      <alignment horizontal="center" vertical="center" wrapText="1"/>
    </xf>
    <xf numFmtId="0" fontId="4" fillId="0" borderId="13" xfId="0" applyFont="1" applyBorder="1" applyAlignment="1">
      <alignment horizontal="center" vertical="center"/>
    </xf>
    <xf numFmtId="0" fontId="4" fillId="0" borderId="13" xfId="0" applyFont="1" applyBorder="1" applyAlignment="1">
      <alignment horizontal="center" vertical="center" wrapText="1"/>
    </xf>
    <xf numFmtId="0" fontId="4" fillId="3" borderId="11" xfId="0" applyFont="1" applyFill="1" applyBorder="1" applyAlignment="1">
      <alignment horizontal="center" vertical="center" wrapText="1"/>
    </xf>
    <xf numFmtId="0" fontId="4" fillId="3" borderId="11" xfId="0" applyFont="1" applyFill="1" applyBorder="1" applyAlignment="1">
      <alignment horizontal="center" vertical="center"/>
    </xf>
    <xf numFmtId="2" fontId="4" fillId="3" borderId="11" xfId="0" applyNumberFormat="1" applyFont="1" applyFill="1" applyBorder="1" applyAlignment="1">
      <alignment horizontal="center" vertical="center" wrapText="1"/>
    </xf>
    <xf numFmtId="0" fontId="4" fillId="3" borderId="12" xfId="0" applyFont="1" applyFill="1" applyBorder="1" applyAlignment="1">
      <alignment horizontal="center" vertical="center" wrapText="1"/>
    </xf>
    <xf numFmtId="0" fontId="4" fillId="3" borderId="12" xfId="0" applyFont="1" applyFill="1" applyBorder="1" applyAlignment="1">
      <alignment horizontal="center" vertical="center"/>
    </xf>
    <xf numFmtId="2" fontId="4" fillId="3" borderId="12" xfId="0" applyNumberFormat="1" applyFont="1" applyFill="1" applyBorder="1" applyAlignment="1">
      <alignment horizontal="center" vertical="center" wrapText="1"/>
    </xf>
    <xf numFmtId="2" fontId="5" fillId="0" borderId="3" xfId="0" applyNumberFormat="1" applyFont="1" applyBorder="1" applyAlignment="1">
      <alignment horizontal="center" vertical="center" wrapText="1"/>
    </xf>
    <xf numFmtId="0" fontId="4" fillId="3" borderId="3" xfId="0" applyFont="1" applyFill="1" applyBorder="1" applyAlignment="1">
      <alignment horizontal="center" vertical="center" wrapText="1"/>
    </xf>
    <xf numFmtId="0" fontId="4" fillId="3" borderId="3" xfId="0" applyFont="1" applyFill="1" applyBorder="1" applyAlignment="1">
      <alignment horizontal="center" vertical="center"/>
    </xf>
    <xf numFmtId="164" fontId="4" fillId="3" borderId="0" xfId="0" applyNumberFormat="1" applyFont="1" applyFill="1" applyBorder="1" applyAlignment="1">
      <alignment horizontal="center" vertical="center"/>
    </xf>
    <xf numFmtId="0" fontId="8" fillId="0" borderId="23" xfId="0" applyFont="1" applyBorder="1" applyAlignment="1">
      <alignment horizontal="left"/>
    </xf>
    <xf numFmtId="0" fontId="8" fillId="0" borderId="24" xfId="0" applyFont="1" applyBorder="1" applyAlignment="1">
      <alignment horizontal="left"/>
    </xf>
    <xf numFmtId="0" fontId="8" fillId="0" borderId="25" xfId="0" applyFont="1" applyBorder="1" applyAlignment="1">
      <alignment horizontal="left"/>
    </xf>
    <xf numFmtId="0" fontId="8" fillId="0" borderId="17" xfId="0" applyFont="1" applyBorder="1" applyAlignment="1">
      <alignment horizontal="left"/>
    </xf>
    <xf numFmtId="0" fontId="0" fillId="0" borderId="18" xfId="0" applyBorder="1" applyAlignment="1">
      <alignment horizontal="left"/>
    </xf>
    <xf numFmtId="0" fontId="0" fillId="0" borderId="19" xfId="0" applyBorder="1" applyAlignment="1">
      <alignment horizontal="left"/>
    </xf>
    <xf numFmtId="0" fontId="8" fillId="0" borderId="20" xfId="0" applyFont="1" applyBorder="1" applyAlignment="1">
      <alignment horizontal="left"/>
    </xf>
    <xf numFmtId="0" fontId="0" fillId="0" borderId="21" xfId="0" applyBorder="1" applyAlignment="1">
      <alignment horizontal="left"/>
    </xf>
    <xf numFmtId="0" fontId="0" fillId="0" borderId="22" xfId="0" applyBorder="1" applyAlignment="1">
      <alignment horizontal="left"/>
    </xf>
    <xf numFmtId="3" fontId="0" fillId="0" borderId="18" xfId="0" applyNumberFormat="1" applyBorder="1" applyAlignment="1">
      <alignment horizontal="left"/>
    </xf>
    <xf numFmtId="0" fontId="8" fillId="2" borderId="14" xfId="0" applyFont="1" applyFill="1" applyBorder="1" applyAlignment="1">
      <alignment horizontal="left"/>
    </xf>
    <xf numFmtId="0" fontId="0" fillId="2" borderId="15" xfId="0" applyFill="1" applyBorder="1" applyAlignment="1">
      <alignment horizontal="left"/>
    </xf>
    <xf numFmtId="0" fontId="0" fillId="2" borderId="16" xfId="0" applyFill="1" applyBorder="1" applyAlignment="1">
      <alignment horizontal="left"/>
    </xf>
    <xf numFmtId="0" fontId="8" fillId="2" borderId="17" xfId="0" applyFont="1" applyFill="1" applyBorder="1" applyAlignment="1">
      <alignment horizontal="left"/>
    </xf>
    <xf numFmtId="0" fontId="0" fillId="2" borderId="18" xfId="0" applyFill="1" applyBorder="1" applyAlignment="1">
      <alignment horizontal="left"/>
    </xf>
    <xf numFmtId="0" fontId="0" fillId="2" borderId="19" xfId="0" applyFill="1" applyBorder="1" applyAlignment="1">
      <alignment horizontal="left"/>
    </xf>
    <xf numFmtId="0" fontId="8" fillId="0" borderId="26" xfId="0" applyFont="1" applyBorder="1" applyAlignment="1">
      <alignment horizontal="left"/>
    </xf>
    <xf numFmtId="3" fontId="0" fillId="0" borderId="27" xfId="0" applyNumberFormat="1" applyBorder="1" applyAlignment="1">
      <alignment horizontal="left"/>
    </xf>
    <xf numFmtId="0" fontId="0" fillId="0" borderId="27" xfId="0" applyBorder="1" applyAlignment="1">
      <alignment horizontal="left"/>
    </xf>
    <xf numFmtId="0" fontId="0" fillId="0" borderId="28" xfId="0" applyBorder="1" applyAlignment="1">
      <alignment horizontal="left"/>
    </xf>
    <xf numFmtId="0" fontId="8" fillId="2" borderId="20" xfId="0" applyFont="1" applyFill="1" applyBorder="1" applyAlignment="1">
      <alignment horizontal="left"/>
    </xf>
    <xf numFmtId="0" fontId="0" fillId="2" borderId="21" xfId="0" applyFill="1" applyBorder="1" applyAlignment="1">
      <alignment horizontal="left"/>
    </xf>
    <xf numFmtId="0" fontId="0" fillId="2" borderId="22" xfId="0" applyFill="1" applyBorder="1" applyAlignment="1">
      <alignment horizontal="left"/>
    </xf>
    <xf numFmtId="0" fontId="8" fillId="3" borderId="14" xfId="0" applyFont="1" applyFill="1" applyBorder="1" applyAlignment="1">
      <alignment horizontal="left"/>
    </xf>
    <xf numFmtId="3" fontId="0" fillId="3" borderId="15" xfId="0" applyNumberFormat="1" applyFill="1" applyBorder="1" applyAlignment="1">
      <alignment horizontal="left"/>
    </xf>
    <xf numFmtId="0" fontId="0" fillId="3" borderId="15" xfId="0" applyFill="1" applyBorder="1" applyAlignment="1">
      <alignment horizontal="left"/>
    </xf>
    <xf numFmtId="0" fontId="0" fillId="3" borderId="16" xfId="0" applyFill="1" applyBorder="1" applyAlignment="1">
      <alignment horizontal="left"/>
    </xf>
    <xf numFmtId="0" fontId="8" fillId="3" borderId="17" xfId="0" applyFont="1" applyFill="1" applyBorder="1" applyAlignment="1">
      <alignment horizontal="left"/>
    </xf>
    <xf numFmtId="0" fontId="0" fillId="3" borderId="18" xfId="0" applyFill="1" applyBorder="1" applyAlignment="1">
      <alignment horizontal="left"/>
    </xf>
    <xf numFmtId="0" fontId="0" fillId="3" borderId="19" xfId="0" applyFill="1" applyBorder="1" applyAlignment="1">
      <alignment horizontal="left"/>
    </xf>
    <xf numFmtId="0" fontId="8" fillId="3" borderId="20" xfId="0" applyFont="1" applyFill="1" applyBorder="1" applyAlignment="1">
      <alignment horizontal="left"/>
    </xf>
    <xf numFmtId="3" fontId="0" fillId="3" borderId="21" xfId="0" applyNumberFormat="1" applyFill="1" applyBorder="1" applyAlignment="1">
      <alignment horizontal="left"/>
    </xf>
    <xf numFmtId="0" fontId="0" fillId="3" borderId="21" xfId="0" applyFill="1" applyBorder="1" applyAlignment="1">
      <alignment horizontal="left"/>
    </xf>
    <xf numFmtId="0" fontId="0" fillId="3" borderId="22" xfId="0" applyFill="1" applyBorder="1" applyAlignment="1">
      <alignment horizontal="left"/>
    </xf>
    <xf numFmtId="0" fontId="9" fillId="3" borderId="0" xfId="0" applyFont="1" applyFill="1" applyAlignment="1">
      <alignment horizontal="center" vertical="center" wrapText="1"/>
    </xf>
    <xf numFmtId="0" fontId="9" fillId="3" borderId="0" xfId="0" applyFont="1" applyFill="1" applyAlignment="1">
      <alignment horizontal="center" vertical="center"/>
    </xf>
    <xf numFmtId="0" fontId="9" fillId="3" borderId="3" xfId="0" applyFont="1" applyFill="1" applyBorder="1" applyAlignment="1">
      <alignment horizontal="center" vertical="center" wrapText="1"/>
    </xf>
    <xf numFmtId="0" fontId="9" fillId="3" borderId="3" xfId="0" applyFont="1" applyFill="1" applyBorder="1" applyAlignment="1">
      <alignment horizontal="center" vertical="center"/>
    </xf>
    <xf numFmtId="0" fontId="4" fillId="2" borderId="12" xfId="0" applyFont="1" applyFill="1" applyBorder="1" applyAlignment="1">
      <alignment horizontal="center" vertical="center" wrapText="1"/>
    </xf>
    <xf numFmtId="0" fontId="7" fillId="2" borderId="1" xfId="0" applyFont="1" applyFill="1" applyBorder="1" applyAlignment="1">
      <alignment horizontal="left" vertical="center" wrapText="1"/>
    </xf>
    <xf numFmtId="0" fontId="2" fillId="2" borderId="1" xfId="0" applyFont="1" applyFill="1" applyBorder="1" applyAlignment="1">
      <alignment horizontal="left" vertical="center" wrapText="1"/>
    </xf>
    <xf numFmtId="0" fontId="2" fillId="0" borderId="0" xfId="0" applyFont="1" applyAlignment="1">
      <alignment wrapText="1"/>
    </xf>
    <xf numFmtId="0" fontId="0" fillId="0" borderId="0" xfId="0" applyAlignment="1">
      <alignment wrapText="1"/>
    </xf>
    <xf numFmtId="0" fontId="3" fillId="0" borderId="0" xfId="0" applyFont="1" applyAlignment="1">
      <alignment vertical="center" wrapText="1"/>
    </xf>
    <xf numFmtId="0" fontId="2" fillId="0" borderId="0" xfId="0" applyFont="1" applyAlignment="1">
      <alignment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5" Type="http://schemas.openxmlformats.org/officeDocument/2006/relationships/image" Target="../media/image22.pn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91440</xdr:colOff>
      <xdr:row>0</xdr:row>
      <xdr:rowOff>76200</xdr:rowOff>
    </xdr:from>
    <xdr:to>
      <xdr:col>8</xdr:col>
      <xdr:colOff>632460</xdr:colOff>
      <xdr:row>27</xdr:row>
      <xdr:rowOff>126454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7F6EF0C-7535-7A28-4B72-2C11C0DA9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" y="76200"/>
          <a:ext cx="6880860" cy="4988014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845820</xdr:colOff>
      <xdr:row>0</xdr:row>
      <xdr:rowOff>155786</xdr:rowOff>
    </xdr:from>
    <xdr:to>
      <xdr:col>16</xdr:col>
      <xdr:colOff>232740</xdr:colOff>
      <xdr:row>41</xdr:row>
      <xdr:rowOff>107903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ECDFA74-7322-38BC-467C-BDCD08270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5820" y="155786"/>
          <a:ext cx="13041960" cy="713777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0</xdr:row>
      <xdr:rowOff>171734</xdr:rowOff>
    </xdr:from>
    <xdr:to>
      <xdr:col>16</xdr:col>
      <xdr:colOff>327660</xdr:colOff>
      <xdr:row>41</xdr:row>
      <xdr:rowOff>170882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0E7DE0C-8C2F-DB8E-CC42-57029BD2DD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8680" y="171734"/>
          <a:ext cx="13114020" cy="718480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</xdr:colOff>
      <xdr:row>0</xdr:row>
      <xdr:rowOff>174021</xdr:rowOff>
    </xdr:from>
    <xdr:to>
      <xdr:col>15</xdr:col>
      <xdr:colOff>828953</xdr:colOff>
      <xdr:row>42</xdr:row>
      <xdr:rowOff>22187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59661249-2B94-1B3F-1AD4-884A9C824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1060" y="174021"/>
          <a:ext cx="12769493" cy="720908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830580</xdr:colOff>
      <xdr:row>0</xdr:row>
      <xdr:rowOff>156182</xdr:rowOff>
    </xdr:from>
    <xdr:to>
      <xdr:col>15</xdr:col>
      <xdr:colOff>809906</xdr:colOff>
      <xdr:row>39</xdr:row>
      <xdr:rowOff>100219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8B4CEEF-32A1-9759-E714-46CF1FD1D7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0580" y="156182"/>
          <a:ext cx="12780926" cy="6779177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845820</xdr:colOff>
      <xdr:row>1</xdr:row>
      <xdr:rowOff>21945</xdr:rowOff>
    </xdr:from>
    <xdr:to>
      <xdr:col>15</xdr:col>
      <xdr:colOff>211786</xdr:colOff>
      <xdr:row>39</xdr:row>
      <xdr:rowOff>140311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434CFBC-DDAA-A4F6-F9B0-B34B89363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45820" y="197205"/>
          <a:ext cx="12167566" cy="677824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36868</xdr:colOff>
      <xdr:row>2</xdr:row>
      <xdr:rowOff>7620</xdr:rowOff>
    </xdr:from>
    <xdr:to>
      <xdr:col>16</xdr:col>
      <xdr:colOff>569905</xdr:colOff>
      <xdr:row>44</xdr:row>
      <xdr:rowOff>18369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3893491-90FC-CC94-2DB1-BB987FCC2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0308" y="358140"/>
          <a:ext cx="13334637" cy="737166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160020</xdr:rowOff>
    </xdr:from>
    <xdr:to>
      <xdr:col>16</xdr:col>
      <xdr:colOff>783275</xdr:colOff>
      <xdr:row>43</xdr:row>
      <xdr:rowOff>73610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502C84F-1CAF-9E93-34C3-04864113B8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3440" y="160020"/>
          <a:ext cx="13584875" cy="744977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822960</xdr:colOff>
      <xdr:row>0</xdr:row>
      <xdr:rowOff>172644</xdr:rowOff>
    </xdr:from>
    <xdr:to>
      <xdr:col>15</xdr:col>
      <xdr:colOff>548962</xdr:colOff>
      <xdr:row>40</xdr:row>
      <xdr:rowOff>140305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8AF551E8-A4CD-13FE-FE2E-5E7175D84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2960" y="172644"/>
          <a:ext cx="12527602" cy="697806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99060</xdr:colOff>
      <xdr:row>3</xdr:row>
      <xdr:rowOff>137160</xdr:rowOff>
    </xdr:from>
    <xdr:to>
      <xdr:col>11</xdr:col>
      <xdr:colOff>88845</xdr:colOff>
      <xdr:row>20</xdr:row>
      <xdr:rowOff>2332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D6E298E-A5E1-2AE1-FABD-A3D8F0D961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060" y="685800"/>
          <a:ext cx="8707065" cy="3057952"/>
        </a:xfrm>
        <a:prstGeom prst="rect">
          <a:avLst/>
        </a:prstGeom>
      </xdr:spPr>
    </xdr:pic>
    <xdr:clientData/>
  </xdr:twoCellAnchor>
  <xdr:twoCellAnchor editAs="oneCell">
    <xdr:from>
      <xdr:col>0</xdr:col>
      <xdr:colOff>177900</xdr:colOff>
      <xdr:row>21</xdr:row>
      <xdr:rowOff>22860</xdr:rowOff>
    </xdr:from>
    <xdr:to>
      <xdr:col>8</xdr:col>
      <xdr:colOff>249821</xdr:colOff>
      <xdr:row>40</xdr:row>
      <xdr:rowOff>129540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6F5924A-BA49-65A9-6E1D-622F6E112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7900" y="5311140"/>
          <a:ext cx="6411761" cy="3581400"/>
        </a:xfrm>
        <a:prstGeom prst="rect">
          <a:avLst/>
        </a:prstGeom>
      </xdr:spPr>
    </xdr:pic>
    <xdr:clientData/>
  </xdr:twoCellAnchor>
  <xdr:twoCellAnchor editAs="oneCell">
    <xdr:from>
      <xdr:col>8</xdr:col>
      <xdr:colOff>435097</xdr:colOff>
      <xdr:row>21</xdr:row>
      <xdr:rowOff>74214</xdr:rowOff>
    </xdr:from>
    <xdr:to>
      <xdr:col>19</xdr:col>
      <xdr:colOff>221458</xdr:colOff>
      <xdr:row>40</xdr:row>
      <xdr:rowOff>129540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42CCC54C-5D6A-83D3-BA62-4C58E180A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74937" y="5362494"/>
          <a:ext cx="8107401" cy="3530046"/>
        </a:xfrm>
        <a:prstGeom prst="rect">
          <a:avLst/>
        </a:prstGeom>
      </xdr:spPr>
    </xdr:pic>
    <xdr:clientData/>
  </xdr:twoCellAnchor>
  <xdr:twoCellAnchor editAs="oneCell">
    <xdr:from>
      <xdr:col>11</xdr:col>
      <xdr:colOff>685800</xdr:colOff>
      <xdr:row>1</xdr:row>
      <xdr:rowOff>137160</xdr:rowOff>
    </xdr:from>
    <xdr:to>
      <xdr:col>18</xdr:col>
      <xdr:colOff>200203</xdr:colOff>
      <xdr:row>19</xdr:row>
      <xdr:rowOff>160834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16C73C7-4E83-CA9E-5FD5-23B038DAE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03080" y="1181100"/>
          <a:ext cx="5061763" cy="3666034"/>
        </a:xfrm>
        <a:prstGeom prst="rect">
          <a:avLst/>
        </a:prstGeom>
      </xdr:spPr>
    </xdr:pic>
    <xdr:clientData/>
  </xdr:twoCellAnchor>
  <xdr:twoCellAnchor editAs="oneCell">
    <xdr:from>
      <xdr:col>22</xdr:col>
      <xdr:colOff>114862</xdr:colOff>
      <xdr:row>3</xdr:row>
      <xdr:rowOff>91440</xdr:rowOff>
    </xdr:from>
    <xdr:to>
      <xdr:col>28</xdr:col>
      <xdr:colOff>90805</xdr:colOff>
      <xdr:row>16</xdr:row>
      <xdr:rowOff>152400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55585E4A-A9A0-E6C9-654C-ADA305C26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89302" y="2004060"/>
          <a:ext cx="4730823" cy="2522220"/>
        </a:xfrm>
        <a:prstGeom prst="rect">
          <a:avLst/>
        </a:prstGeom>
      </xdr:spPr>
    </xdr:pic>
    <xdr:clientData/>
  </xdr:twoCellAnchor>
  <xdr:twoCellAnchor editAs="oneCell">
    <xdr:from>
      <xdr:col>1</xdr:col>
      <xdr:colOff>346709</xdr:colOff>
      <xdr:row>41</xdr:row>
      <xdr:rowOff>160020</xdr:rowOff>
    </xdr:from>
    <xdr:to>
      <xdr:col>12</xdr:col>
      <xdr:colOff>445679</xdr:colOff>
      <xdr:row>69</xdr:row>
      <xdr:rowOff>77237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9C9CADB8-777E-CC91-007A-DFD0455712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39189" y="9105900"/>
          <a:ext cx="8816250" cy="5037857"/>
        </a:xfrm>
        <a:prstGeom prst="rect">
          <a:avLst/>
        </a:prstGeom>
      </xdr:spPr>
    </xdr:pic>
    <xdr:clientData/>
  </xdr:twoCellAnchor>
  <xdr:twoCellAnchor editAs="oneCell">
    <xdr:from>
      <xdr:col>22</xdr:col>
      <xdr:colOff>96458</xdr:colOff>
      <xdr:row>18</xdr:row>
      <xdr:rowOff>22860</xdr:rowOff>
    </xdr:from>
    <xdr:to>
      <xdr:col>30</xdr:col>
      <xdr:colOff>33019</xdr:colOff>
      <xdr:row>38</xdr:row>
      <xdr:rowOff>38100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3DB33559-A06A-9F1A-CE1E-8CE8F8B53D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570898" y="4762500"/>
          <a:ext cx="6276401" cy="3672840"/>
        </a:xfrm>
        <a:prstGeom prst="rect">
          <a:avLst/>
        </a:prstGeom>
      </xdr:spPr>
    </xdr:pic>
    <xdr:clientData/>
  </xdr:twoCellAnchor>
  <xdr:twoCellAnchor editAs="oneCell">
    <xdr:from>
      <xdr:col>22</xdr:col>
      <xdr:colOff>76200</xdr:colOff>
      <xdr:row>39</xdr:row>
      <xdr:rowOff>24728</xdr:rowOff>
    </xdr:from>
    <xdr:to>
      <xdr:col>29</xdr:col>
      <xdr:colOff>764870</xdr:colOff>
      <xdr:row>56</xdr:row>
      <xdr:rowOff>38100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E12D89CF-C186-6BEA-C632-55CB84CCB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50640" y="8604848"/>
          <a:ext cx="6236030" cy="3122332"/>
        </a:xfrm>
        <a:prstGeom prst="rect">
          <a:avLst/>
        </a:prstGeom>
      </xdr:spPr>
    </xdr:pic>
    <xdr:clientData/>
  </xdr:twoCellAnchor>
  <xdr:twoCellAnchor editAs="oneCell">
    <xdr:from>
      <xdr:col>30</xdr:col>
      <xdr:colOff>251460</xdr:colOff>
      <xdr:row>4</xdr:row>
      <xdr:rowOff>45720</xdr:rowOff>
    </xdr:from>
    <xdr:to>
      <xdr:col>36</xdr:col>
      <xdr:colOff>622059</xdr:colOff>
      <xdr:row>21</xdr:row>
      <xdr:rowOff>177217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68A395ED-5EF0-48BC-1DC3-7E3605ADE9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149560" y="2141220"/>
          <a:ext cx="5125479" cy="332427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57</xdr:row>
      <xdr:rowOff>0</xdr:rowOff>
    </xdr:from>
    <xdr:to>
      <xdr:col>40</xdr:col>
      <xdr:colOff>186802</xdr:colOff>
      <xdr:row>106</xdr:row>
      <xdr:rowOff>155577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A8597B3-D324-CBCB-3DD0-37C027990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558260" y="11871960"/>
          <a:ext cx="14451442" cy="911669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792480</xdr:colOff>
      <xdr:row>0</xdr:row>
      <xdr:rowOff>162349</xdr:rowOff>
    </xdr:from>
    <xdr:to>
      <xdr:col>16</xdr:col>
      <xdr:colOff>156545</xdr:colOff>
      <xdr:row>41</xdr:row>
      <xdr:rowOff>85043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9A42E65-6C88-A880-7385-604952DB9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2480" y="162349"/>
          <a:ext cx="13019105" cy="710835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91440</xdr:colOff>
      <xdr:row>0</xdr:row>
      <xdr:rowOff>56940</xdr:rowOff>
    </xdr:from>
    <xdr:to>
      <xdr:col>15</xdr:col>
      <xdr:colOff>177478</xdr:colOff>
      <xdr:row>41</xdr:row>
      <xdr:rowOff>92679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7D08A9A-95EF-BE8A-157E-AED06D9C3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40" y="56940"/>
          <a:ext cx="11973238" cy="75338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7620</xdr:colOff>
      <xdr:row>1</xdr:row>
      <xdr:rowOff>8709</xdr:rowOff>
    </xdr:from>
    <xdr:to>
      <xdr:col>15</xdr:col>
      <xdr:colOff>729951</xdr:colOff>
      <xdr:row>40</xdr:row>
      <xdr:rowOff>125055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F1B482B-885F-CEEB-EA76-43C77EACD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1060" y="183969"/>
          <a:ext cx="12670491" cy="69514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449580</xdr:colOff>
      <xdr:row>0</xdr:row>
      <xdr:rowOff>149068</xdr:rowOff>
    </xdr:from>
    <xdr:to>
      <xdr:col>15</xdr:col>
      <xdr:colOff>537513</xdr:colOff>
      <xdr:row>42</xdr:row>
      <xdr:rowOff>5045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55B2D93-0499-D1F9-EAB0-49D36C2D9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9580" y="149068"/>
          <a:ext cx="12889533" cy="721689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163489</xdr:rowOff>
    </xdr:from>
    <xdr:to>
      <xdr:col>16</xdr:col>
      <xdr:colOff>796567</xdr:colOff>
      <xdr:row>45</xdr:row>
      <xdr:rowOff>41251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3D68549-D51C-FA55-4D9D-A23D30D77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3440" y="163489"/>
          <a:ext cx="13598167" cy="776446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</xdr:colOff>
      <xdr:row>0</xdr:row>
      <xdr:rowOff>163505</xdr:rowOff>
    </xdr:from>
    <xdr:to>
      <xdr:col>16</xdr:col>
      <xdr:colOff>823282</xdr:colOff>
      <xdr:row>43</xdr:row>
      <xdr:rowOff>159347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8E1CD72-A4AE-6FAD-AACD-04B162A4C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8680" y="163505"/>
          <a:ext cx="13609642" cy="753202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30480</xdr:colOff>
      <xdr:row>0</xdr:row>
      <xdr:rowOff>166284</xdr:rowOff>
    </xdr:from>
    <xdr:to>
      <xdr:col>15</xdr:col>
      <xdr:colOff>469314</xdr:colOff>
      <xdr:row>41</xdr:row>
      <xdr:rowOff>22859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4321B76-B0BD-F3F3-E6B8-8901BFB39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3920" y="166284"/>
          <a:ext cx="12386994" cy="704223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166906</xdr:rowOff>
    </xdr:from>
    <xdr:to>
      <xdr:col>16</xdr:col>
      <xdr:colOff>743285</xdr:colOff>
      <xdr:row>46</xdr:row>
      <xdr:rowOff>67933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8117792-CF72-4943-5AFA-D1486F100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3440" y="517426"/>
          <a:ext cx="13544885" cy="76124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10789B-B994-429A-996A-543BDEAF0805}">
  <dimension ref="A4:A12"/>
  <sheetViews>
    <sheetView workbookViewId="0">
      <selection activeCell="F8" sqref="F8"/>
    </sheetView>
  </sheetViews>
  <sheetFormatPr baseColWidth="10" defaultRowHeight="14.4" x14ac:dyDescent="0.3"/>
  <sheetData>
    <row r="4" ht="13.2" customHeight="1" x14ac:dyDescent="0.3"/>
    <row r="5" ht="13.2" customHeight="1" x14ac:dyDescent="0.3"/>
    <row r="6" ht="13.2" customHeight="1" x14ac:dyDescent="0.3"/>
    <row r="7" ht="13.2" customHeight="1" x14ac:dyDescent="0.3"/>
    <row r="8" ht="13.2" customHeight="1" x14ac:dyDescent="0.3"/>
    <row r="9" ht="13.2" customHeight="1" x14ac:dyDescent="0.3"/>
    <row r="10" ht="13.2" customHeight="1" x14ac:dyDescent="0.3"/>
    <row r="11" ht="13.2" customHeight="1" x14ac:dyDescent="0.3"/>
    <row r="12" ht="13.2" customHeight="1" x14ac:dyDescent="0.3"/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8A3E08-34A1-45E5-AEBD-4C2C3F2ADC4C}">
  <sheetPr codeName="Hoja7"/>
  <dimension ref="A1"/>
  <sheetViews>
    <sheetView workbookViewId="0">
      <selection activeCell="A5" sqref="A5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8ECE25-CCE9-44EB-98A3-E963CCFA114A}">
  <sheetPr codeName="Hoja8"/>
  <dimension ref="A1"/>
  <sheetViews>
    <sheetView workbookViewId="0">
      <selection activeCell="A4" sqref="A4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4F03A3-C431-430B-B4D0-FE7BD8C0BB16}">
  <sheetPr codeName="Hoja9"/>
  <dimension ref="A1"/>
  <sheetViews>
    <sheetView topLeftCell="A2" workbookViewId="0">
      <selection activeCell="A4" sqref="A4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1A665-C0B6-45A5-A7C5-2A0ED86EFC31}">
  <sheetPr codeName="Hoja10"/>
  <dimension ref="A1"/>
  <sheetViews>
    <sheetView workbookViewId="0">
      <selection activeCell="A9" sqref="A9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C83187-8B9A-4781-BD5E-464A734DB904}">
  <sheetPr codeName="Hoja11"/>
  <dimension ref="A1"/>
  <sheetViews>
    <sheetView topLeftCell="A8" workbookViewId="0">
      <selection activeCell="A8" sqref="A8"/>
    </sheetView>
  </sheetViews>
  <sheetFormatPr baseColWidth="10" defaultRowHeight="14.4" x14ac:dyDescent="0.3"/>
  <cols>
    <col min="1" max="1" width="6.44140625" customWidth="1"/>
  </cols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C20885-500D-4234-9580-6BDCFB1538FD}">
  <sheetPr codeName="Hoja12"/>
  <dimension ref="A1"/>
  <sheetViews>
    <sheetView workbookViewId="0">
      <selection activeCell="A5" sqref="A5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81E644-FA81-4255-901D-5A1A3E64EE71}">
  <sheetPr codeName="Hoja13"/>
  <dimension ref="A1"/>
  <sheetViews>
    <sheetView topLeftCell="A3" workbookViewId="0">
      <selection activeCell="A6" sqref="A6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C3E18F-1D32-4E9C-8DA1-37ABF604E2EB}">
  <sheetPr codeName="Hoja14"/>
  <dimension ref="A1"/>
  <sheetViews>
    <sheetView workbookViewId="0">
      <selection activeCell="Q4" sqref="Q4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57450A-43A9-46BA-B6CC-D09493E13697}">
  <sheetPr codeName="Hoja15"/>
  <dimension ref="A1"/>
  <sheetViews>
    <sheetView topLeftCell="A4" workbookViewId="0">
      <selection activeCell="A5" sqref="A5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099CCB-57EF-4158-A98F-C35BABFE074D}">
  <sheetPr codeName="Hoja16"/>
  <dimension ref="A1"/>
  <sheetViews>
    <sheetView workbookViewId="0">
      <selection activeCell="A4" sqref="A4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C31DE3-13F3-4E09-9512-673D8FBBE407}">
  <sheetPr codeName="Hoja1"/>
  <dimension ref="A1:N139"/>
  <sheetViews>
    <sheetView topLeftCell="A74" zoomScale="90" zoomScaleNormal="90" workbookViewId="0">
      <selection activeCell="A93" sqref="A93:J93"/>
    </sheetView>
  </sheetViews>
  <sheetFormatPr baseColWidth="10" defaultRowHeight="14.4" x14ac:dyDescent="0.3"/>
  <cols>
    <col min="1" max="1" width="13.88671875" customWidth="1"/>
    <col min="2" max="2" width="29.33203125" customWidth="1"/>
    <col min="3" max="3" width="12.109375" customWidth="1"/>
    <col min="4" max="4" width="9.109375" customWidth="1"/>
    <col min="5" max="5" width="9.33203125" customWidth="1"/>
    <col min="6" max="6" width="8.88671875" customWidth="1"/>
    <col min="7" max="7" width="9.33203125" customWidth="1"/>
    <col min="8" max="8" width="7.77734375" customWidth="1"/>
    <col min="9" max="9" width="9.21875" customWidth="1"/>
    <col min="10" max="10" width="7.6640625" customWidth="1"/>
    <col min="11" max="11" width="4.21875" customWidth="1"/>
    <col min="12" max="12" width="28.77734375" style="16" customWidth="1"/>
    <col min="13" max="13" width="6.6640625" style="16" customWidth="1"/>
  </cols>
  <sheetData>
    <row r="1" spans="1:14" ht="42.6" thickTop="1" thickBot="1" x14ac:dyDescent="0.35">
      <c r="A1" s="11" t="s">
        <v>33</v>
      </c>
      <c r="B1" s="11" t="s">
        <v>15</v>
      </c>
      <c r="C1" s="11" t="s">
        <v>22</v>
      </c>
      <c r="D1" s="11" t="s">
        <v>17</v>
      </c>
      <c r="E1" s="11" t="s">
        <v>16</v>
      </c>
      <c r="F1" s="11" t="s">
        <v>28</v>
      </c>
      <c r="G1" s="11" t="s">
        <v>20</v>
      </c>
      <c r="H1" s="11" t="s">
        <v>29</v>
      </c>
      <c r="I1" s="11" t="s">
        <v>21</v>
      </c>
      <c r="J1" s="11" t="s">
        <v>30</v>
      </c>
    </row>
    <row r="2" spans="1:14" ht="15" thickTop="1" x14ac:dyDescent="0.3">
      <c r="A2" s="60">
        <f t="shared" ref="A2" si="0">D2-273.15-10</f>
        <v>-49.329999999999984</v>
      </c>
      <c r="B2" s="60" t="s">
        <v>134</v>
      </c>
      <c r="C2" s="72">
        <v>51.13</v>
      </c>
      <c r="D2" s="73">
        <v>233.82</v>
      </c>
      <c r="E2" s="73">
        <v>11677.29</v>
      </c>
      <c r="F2" s="73">
        <v>0.15</v>
      </c>
      <c r="G2" s="72">
        <f>357.58-347.26</f>
        <v>10.319999999999993</v>
      </c>
      <c r="H2" s="72">
        <v>1800</v>
      </c>
      <c r="I2" s="72">
        <f>275.1-265.46</f>
        <v>9.6400000000000432</v>
      </c>
      <c r="J2" s="72">
        <v>1700</v>
      </c>
    </row>
    <row r="3" spans="1:14" s="3" customFormat="1" x14ac:dyDescent="0.3">
      <c r="A3" s="8"/>
      <c r="B3" s="8"/>
      <c r="C3" s="8"/>
      <c r="D3" s="31"/>
      <c r="E3" s="31"/>
      <c r="F3" s="31"/>
      <c r="G3" s="8"/>
      <c r="H3" s="8"/>
      <c r="I3" s="8"/>
      <c r="J3" s="8"/>
      <c r="L3" s="59"/>
      <c r="M3" s="59"/>
    </row>
    <row r="4" spans="1:14" x14ac:dyDescent="0.3">
      <c r="A4" s="6"/>
      <c r="B4" s="8"/>
      <c r="C4" s="6"/>
      <c r="D4" s="7"/>
      <c r="E4" s="7"/>
      <c r="F4" s="7"/>
      <c r="G4" s="6"/>
      <c r="H4" s="6"/>
      <c r="I4" s="6"/>
      <c r="J4" s="6"/>
    </row>
    <row r="5" spans="1:14" ht="15" thickBot="1" x14ac:dyDescent="0.35">
      <c r="A5" s="5"/>
      <c r="B5" s="5"/>
      <c r="C5" s="5"/>
      <c r="D5" s="34"/>
      <c r="E5" s="37"/>
      <c r="F5" s="34"/>
      <c r="G5" s="5"/>
      <c r="H5" s="5"/>
      <c r="I5" s="5"/>
      <c r="J5" s="5"/>
    </row>
    <row r="6" spans="1:14" ht="15.6" thickTop="1" thickBot="1" x14ac:dyDescent="0.35"/>
    <row r="7" spans="1:14" ht="42.6" thickTop="1" thickBot="1" x14ac:dyDescent="0.35">
      <c r="A7" s="11" t="s">
        <v>33</v>
      </c>
      <c r="B7" s="11" t="s">
        <v>15</v>
      </c>
      <c r="C7" s="11" t="s">
        <v>22</v>
      </c>
      <c r="D7" s="11" t="s">
        <v>17</v>
      </c>
      <c r="E7" s="11" t="s">
        <v>16</v>
      </c>
      <c r="F7" s="11" t="s">
        <v>28</v>
      </c>
      <c r="G7" s="11" t="s">
        <v>20</v>
      </c>
      <c r="H7" s="11" t="s">
        <v>29</v>
      </c>
      <c r="I7" s="11" t="s">
        <v>21</v>
      </c>
      <c r="J7" s="11" t="s">
        <v>30</v>
      </c>
    </row>
    <row r="8" spans="1:14" ht="15" thickTop="1" x14ac:dyDescent="0.3">
      <c r="A8" s="12">
        <v>20.980000000000018</v>
      </c>
      <c r="B8" s="12" t="s">
        <v>27</v>
      </c>
      <c r="C8" s="12">
        <v>42.9</v>
      </c>
      <c r="D8" s="10">
        <v>304.13</v>
      </c>
      <c r="E8" s="10">
        <v>7474.89</v>
      </c>
      <c r="F8" s="7">
        <v>0.31</v>
      </c>
      <c r="G8" s="6">
        <v>10.17</v>
      </c>
      <c r="H8" s="6">
        <v>900</v>
      </c>
      <c r="I8" s="6">
        <v>11.2</v>
      </c>
      <c r="J8" s="6">
        <v>700</v>
      </c>
      <c r="N8" s="2" t="s">
        <v>123</v>
      </c>
    </row>
    <row r="9" spans="1:14" x14ac:dyDescent="0.3">
      <c r="A9" s="6">
        <f>D9-273.15-10</f>
        <v>13.439999999999998</v>
      </c>
      <c r="B9" s="6" t="s">
        <v>50</v>
      </c>
      <c r="C9" s="7">
        <v>43.49</v>
      </c>
      <c r="D9" s="4">
        <v>296.58999999999997</v>
      </c>
      <c r="E9" s="4">
        <v>7935.27</v>
      </c>
      <c r="F9" s="4">
        <v>0.26</v>
      </c>
      <c r="G9" s="6">
        <f>444.68-432.91</f>
        <v>11.769999999999982</v>
      </c>
      <c r="H9" s="6">
        <v>1000</v>
      </c>
      <c r="I9" s="6">
        <f>348.88-339.1</f>
        <v>9.7799999999999727</v>
      </c>
      <c r="J9" s="6">
        <v>800</v>
      </c>
      <c r="N9" s="2" t="s">
        <v>124</v>
      </c>
    </row>
    <row r="10" spans="1:14" x14ac:dyDescent="0.3">
      <c r="A10" s="6">
        <f t="shared" ref="A10:A12" si="1">D10-273.15-10</f>
        <v>4.2400000000000091</v>
      </c>
      <c r="B10" s="6" t="s">
        <v>51</v>
      </c>
      <c r="C10" s="7">
        <v>45.05</v>
      </c>
      <c r="D10" s="4">
        <v>287.39</v>
      </c>
      <c r="E10" s="4">
        <v>7851.58</v>
      </c>
      <c r="F10" s="4">
        <v>0.25</v>
      </c>
      <c r="G10" s="15">
        <f>439.42-427.72</f>
        <v>11.699999999999989</v>
      </c>
      <c r="H10" s="4">
        <v>1200</v>
      </c>
      <c r="I10" s="6">
        <f>339.92-330.16</f>
        <v>9.7599999999999909</v>
      </c>
      <c r="J10" s="4">
        <v>900</v>
      </c>
      <c r="N10" s="2" t="s">
        <v>125</v>
      </c>
    </row>
    <row r="11" spans="1:14" x14ac:dyDescent="0.3">
      <c r="A11" s="6">
        <f t="shared" si="1"/>
        <v>-5.4599999999999795</v>
      </c>
      <c r="B11" s="6" t="s">
        <v>52</v>
      </c>
      <c r="C11" s="7">
        <v>46.21</v>
      </c>
      <c r="D11" s="4">
        <v>277.69</v>
      </c>
      <c r="E11" s="4">
        <v>7482.4</v>
      </c>
      <c r="F11" s="4">
        <v>0.23</v>
      </c>
      <c r="G11" s="15">
        <f>427.9-415.79</f>
        <v>12.109999999999957</v>
      </c>
      <c r="H11" s="4">
        <v>1100</v>
      </c>
      <c r="I11" s="15">
        <f>329.99-320.17</f>
        <v>9.8199999999999932</v>
      </c>
      <c r="J11" s="4">
        <v>850</v>
      </c>
    </row>
    <row r="12" spans="1:14" x14ac:dyDescent="0.3">
      <c r="A12" s="6">
        <f t="shared" si="1"/>
        <v>-8.3599999999999568</v>
      </c>
      <c r="B12" s="6" t="s">
        <v>71</v>
      </c>
      <c r="C12" s="6">
        <v>46.48</v>
      </c>
      <c r="D12" s="6">
        <v>274.79000000000002</v>
      </c>
      <c r="E12" s="6">
        <v>7231.16</v>
      </c>
      <c r="F12" s="6">
        <v>0.22</v>
      </c>
      <c r="G12" s="6">
        <f>418.96-408.28</f>
        <v>10.680000000000007</v>
      </c>
      <c r="H12" s="6">
        <v>1150</v>
      </c>
      <c r="I12" s="6">
        <f>329.44-319.59</f>
        <v>9.8500000000000227</v>
      </c>
      <c r="J12" s="6">
        <v>750</v>
      </c>
    </row>
    <row r="13" spans="1:14" x14ac:dyDescent="0.3">
      <c r="A13" s="6">
        <f t="shared" ref="A13:A14" si="2">D13-273.15-10</f>
        <v>-14.96999999999997</v>
      </c>
      <c r="B13" s="6" t="s">
        <v>53</v>
      </c>
      <c r="C13" s="6">
        <v>47.45</v>
      </c>
      <c r="D13" s="6">
        <v>268.18</v>
      </c>
      <c r="E13" s="6">
        <v>6935.24</v>
      </c>
      <c r="F13" s="6">
        <v>0.22</v>
      </c>
      <c r="G13" s="6">
        <f>411.72-400.89</f>
        <v>10.830000000000041</v>
      </c>
      <c r="H13" s="6">
        <v>1140</v>
      </c>
      <c r="I13" s="6">
        <f>321.8-310.83</f>
        <v>10.970000000000027</v>
      </c>
      <c r="J13" s="6">
        <v>700</v>
      </c>
    </row>
    <row r="14" spans="1:14" x14ac:dyDescent="0.3">
      <c r="A14" s="6">
        <f t="shared" si="2"/>
        <v>-18.589999999999975</v>
      </c>
      <c r="B14" s="6" t="s">
        <v>70</v>
      </c>
      <c r="C14" s="6">
        <v>48.45</v>
      </c>
      <c r="D14" s="6">
        <v>264.56</v>
      </c>
      <c r="E14" s="6">
        <v>6695.28</v>
      </c>
      <c r="F14" s="4">
        <v>0.22</v>
      </c>
      <c r="G14" s="6">
        <f>414.23-403.44</f>
        <v>10.79000000000002</v>
      </c>
      <c r="H14" s="6">
        <v>1150</v>
      </c>
      <c r="I14" s="6">
        <f>317.05-307.37</f>
        <v>9.6800000000000068</v>
      </c>
      <c r="J14" s="6">
        <v>800</v>
      </c>
    </row>
    <row r="15" spans="1:14" x14ac:dyDescent="0.3">
      <c r="A15" s="6">
        <f>D15-273.15-10</f>
        <v>-28.519999999999982</v>
      </c>
      <c r="B15" s="6" t="s">
        <v>69</v>
      </c>
      <c r="C15" s="7">
        <v>50.36</v>
      </c>
      <c r="D15" s="4">
        <v>254.63</v>
      </c>
      <c r="E15" s="4">
        <v>5998.71</v>
      </c>
      <c r="F15" s="4">
        <v>0.22</v>
      </c>
      <c r="G15" s="15">
        <f>408.89-398.87</f>
        <v>10.019999999999982</v>
      </c>
      <c r="H15" s="4">
        <v>1150</v>
      </c>
      <c r="I15" s="6">
        <f>307.33-297.64</f>
        <v>9.6899999999999977</v>
      </c>
      <c r="J15" s="4">
        <v>800</v>
      </c>
    </row>
    <row r="16" spans="1:14" x14ac:dyDescent="0.3">
      <c r="A16" s="6">
        <f>D16-273.15-10</f>
        <v>-37.899999999999977</v>
      </c>
      <c r="B16" s="6" t="s">
        <v>68</v>
      </c>
      <c r="C16" s="31">
        <v>52.25</v>
      </c>
      <c r="D16" s="4">
        <v>245.25</v>
      </c>
      <c r="E16" s="4">
        <v>5348.84</v>
      </c>
      <c r="F16" s="4">
        <v>0.22</v>
      </c>
      <c r="G16" s="6">
        <f>404.66-394.95</f>
        <v>9.7100000000000364</v>
      </c>
      <c r="H16" s="6">
        <v>1150</v>
      </c>
      <c r="I16" s="6">
        <f>297.13-287.24</f>
        <v>9.8899999999999864</v>
      </c>
      <c r="J16" s="6">
        <v>800</v>
      </c>
    </row>
    <row r="17" spans="1:11" x14ac:dyDescent="0.3">
      <c r="A17" s="6">
        <f>D17-273.15-10</f>
        <v>-42.939999999999969</v>
      </c>
      <c r="B17" s="8" t="s">
        <v>82</v>
      </c>
      <c r="C17" s="31">
        <v>53.55</v>
      </c>
      <c r="D17" s="4">
        <v>240.21</v>
      </c>
      <c r="E17" s="4">
        <v>5024.3</v>
      </c>
      <c r="F17" s="4">
        <v>0.22</v>
      </c>
      <c r="G17" s="6">
        <f>415.72-404.34</f>
        <v>11.380000000000052</v>
      </c>
      <c r="H17" s="6">
        <v>1100</v>
      </c>
      <c r="I17" s="6">
        <f>290.28-281.17</f>
        <v>9.1099999999999568</v>
      </c>
      <c r="J17" s="6">
        <v>1000</v>
      </c>
    </row>
    <row r="18" spans="1:11" x14ac:dyDescent="0.3">
      <c r="A18" s="69">
        <f>D18-273.15-10</f>
        <v>-52.019999999999982</v>
      </c>
      <c r="B18" s="69" t="s">
        <v>133</v>
      </c>
      <c r="C18" s="70">
        <v>51.45</v>
      </c>
      <c r="D18" s="71">
        <v>231.13</v>
      </c>
      <c r="E18" s="71">
        <v>6104.49</v>
      </c>
      <c r="F18" s="71">
        <v>0.27</v>
      </c>
      <c r="G18" s="69">
        <f>441.92-431.7</f>
        <v>10.220000000000027</v>
      </c>
      <c r="H18" s="69">
        <v>700</v>
      </c>
      <c r="I18" s="69">
        <f>295.11-285.33</f>
        <v>9.7800000000000296</v>
      </c>
      <c r="J18" s="69">
        <v>700</v>
      </c>
    </row>
    <row r="19" spans="1:11" ht="15" thickBot="1" x14ac:dyDescent="0.35">
      <c r="A19" s="60">
        <f>D19-273.15-10</f>
        <v>-53.389999999999986</v>
      </c>
      <c r="B19" s="60" t="s">
        <v>131</v>
      </c>
      <c r="C19" s="61">
        <v>54.45</v>
      </c>
      <c r="D19" s="62">
        <v>229.76</v>
      </c>
      <c r="E19" s="62">
        <v>4663.12</v>
      </c>
      <c r="F19" s="62">
        <v>0.24</v>
      </c>
      <c r="G19" s="60">
        <f>448.23-438.26</f>
        <v>9.9700000000000273</v>
      </c>
      <c r="H19" s="60">
        <v>1150</v>
      </c>
      <c r="I19" s="60">
        <f>296.74-286.11</f>
        <v>10.629999999999995</v>
      </c>
      <c r="J19" s="60">
        <v>1200</v>
      </c>
    </row>
    <row r="20" spans="1:11" ht="15" thickTop="1" x14ac:dyDescent="0.3">
      <c r="A20" s="9">
        <f t="shared" ref="A20" si="3">D20-273.15-10</f>
        <v>-29.149999999999977</v>
      </c>
      <c r="B20" s="9" t="s">
        <v>67</v>
      </c>
      <c r="C20" s="10">
        <v>47.22</v>
      </c>
      <c r="D20" s="10">
        <v>254</v>
      </c>
      <c r="E20" s="10">
        <v>7460.7</v>
      </c>
      <c r="F20" s="10">
        <v>0.05</v>
      </c>
      <c r="G20" s="29">
        <f>344.29-333.38</f>
        <v>10.910000000000025</v>
      </c>
      <c r="H20" s="10">
        <v>1800</v>
      </c>
      <c r="I20" s="9">
        <f>310.18-300.33</f>
        <v>9.8500000000000227</v>
      </c>
      <c r="J20" s="10">
        <v>400</v>
      </c>
    </row>
    <row r="21" spans="1:11" x14ac:dyDescent="0.3">
      <c r="A21" s="6">
        <f>D21-273.15-10</f>
        <v>-39.149999999999977</v>
      </c>
      <c r="B21" s="6" t="s">
        <v>67</v>
      </c>
      <c r="C21" s="7">
        <v>50.54</v>
      </c>
      <c r="D21" s="7">
        <v>244</v>
      </c>
      <c r="E21" s="7">
        <v>6060.7</v>
      </c>
      <c r="F21" s="7">
        <v>0.14000000000000001</v>
      </c>
      <c r="G21" s="15">
        <f>374.22-363.7</f>
        <v>10.520000000000039</v>
      </c>
      <c r="H21" s="7">
        <v>1500</v>
      </c>
      <c r="I21" s="6">
        <f>301.76-290.8</f>
        <v>10.95999999999998</v>
      </c>
      <c r="J21" s="7">
        <v>600</v>
      </c>
    </row>
    <row r="22" spans="1:11" ht="15" thickBot="1" x14ac:dyDescent="0.35">
      <c r="A22" s="32">
        <f>D22-273.15-10</f>
        <v>-49.149999999999977</v>
      </c>
      <c r="B22" s="32" t="s">
        <v>67</v>
      </c>
      <c r="C22" s="33">
        <v>54.07</v>
      </c>
      <c r="D22" s="34">
        <v>234</v>
      </c>
      <c r="E22" s="34">
        <v>4660.7</v>
      </c>
      <c r="F22" s="34">
        <v>0.19</v>
      </c>
      <c r="G22" s="5">
        <f>389.09-378.35</f>
        <v>10.739999999999952</v>
      </c>
      <c r="H22" s="5">
        <v>1150</v>
      </c>
      <c r="I22" s="5">
        <f>284.53-273.96</f>
        <v>10.569999999999993</v>
      </c>
      <c r="J22" s="5">
        <v>700</v>
      </c>
    </row>
    <row r="23" spans="1:11" ht="15" thickTop="1" x14ac:dyDescent="0.3">
      <c r="A23" s="30">
        <f>D23-273.15-10</f>
        <v>-46.629999999999967</v>
      </c>
      <c r="B23" s="30" t="s">
        <v>90</v>
      </c>
      <c r="C23" s="50">
        <v>50.31</v>
      </c>
      <c r="D23" s="28">
        <v>236.52</v>
      </c>
      <c r="E23" s="28">
        <v>4804.1899999999996</v>
      </c>
      <c r="F23" s="28">
        <v>0</v>
      </c>
      <c r="G23" s="30">
        <v>0</v>
      </c>
      <c r="H23" s="30">
        <v>0</v>
      </c>
      <c r="I23" s="30">
        <f>286.74-276.79</f>
        <v>9.9499999999999886</v>
      </c>
      <c r="J23" s="30">
        <v>914</v>
      </c>
    </row>
    <row r="24" spans="1:11" ht="15" thickBot="1" x14ac:dyDescent="0.35"/>
    <row r="25" spans="1:11" ht="42.6" thickTop="1" thickBot="1" x14ac:dyDescent="0.35">
      <c r="A25" s="11" t="s">
        <v>33</v>
      </c>
      <c r="B25" s="11" t="s">
        <v>15</v>
      </c>
      <c r="C25" s="11" t="s">
        <v>22</v>
      </c>
      <c r="D25" s="11" t="s">
        <v>17</v>
      </c>
      <c r="E25" s="11" t="s">
        <v>16</v>
      </c>
      <c r="F25" s="11" t="s">
        <v>28</v>
      </c>
      <c r="G25" s="11" t="s">
        <v>20</v>
      </c>
      <c r="H25" s="11" t="s">
        <v>29</v>
      </c>
      <c r="I25" s="11" t="s">
        <v>21</v>
      </c>
      <c r="J25" s="11" t="s">
        <v>30</v>
      </c>
      <c r="K25" s="27"/>
    </row>
    <row r="26" spans="1:11" ht="15" thickTop="1" x14ac:dyDescent="0.3">
      <c r="A26" s="42">
        <v>20.980000000000018</v>
      </c>
      <c r="B26" s="42" t="s">
        <v>27</v>
      </c>
      <c r="C26" s="42">
        <v>42.9</v>
      </c>
      <c r="D26" s="35">
        <v>304.13</v>
      </c>
      <c r="E26" s="35">
        <v>7474.89</v>
      </c>
      <c r="F26" s="31">
        <v>0.31</v>
      </c>
      <c r="G26" s="8">
        <v>10.17</v>
      </c>
      <c r="H26" s="8">
        <v>900</v>
      </c>
      <c r="I26" s="8">
        <v>11.2</v>
      </c>
      <c r="J26" s="8">
        <v>700</v>
      </c>
    </row>
    <row r="27" spans="1:11" x14ac:dyDescent="0.3">
      <c r="A27" s="8">
        <f>D27-273.15-10</f>
        <v>12.770000000000039</v>
      </c>
      <c r="B27" s="8" t="s">
        <v>54</v>
      </c>
      <c r="C27" s="31">
        <v>43.55</v>
      </c>
      <c r="D27" s="14">
        <v>295.92</v>
      </c>
      <c r="E27" s="14">
        <v>7882.69</v>
      </c>
      <c r="F27" s="14">
        <v>0.25</v>
      </c>
      <c r="G27" s="8">
        <f>433.9-423.557</f>
        <v>10.342999999999961</v>
      </c>
      <c r="H27" s="8">
        <v>1100</v>
      </c>
      <c r="I27" s="8">
        <f>348.82-338.34</f>
        <v>10.480000000000018</v>
      </c>
      <c r="J27" s="8">
        <v>700</v>
      </c>
    </row>
    <row r="28" spans="1:11" x14ac:dyDescent="0.3">
      <c r="A28" s="8">
        <f t="shared" ref="A28:A38" si="4">D28-273.15-10</f>
        <v>2.8600000000000136</v>
      </c>
      <c r="B28" s="8" t="s">
        <v>55</v>
      </c>
      <c r="C28" s="31">
        <v>45.09</v>
      </c>
      <c r="D28" s="14">
        <v>286.01</v>
      </c>
      <c r="E28" s="14">
        <v>7782.63</v>
      </c>
      <c r="F28" s="14">
        <v>0.23</v>
      </c>
      <c r="G28" s="43">
        <f>427.29-415.88</f>
        <v>11.410000000000025</v>
      </c>
      <c r="H28" s="14">
        <v>1200</v>
      </c>
      <c r="I28" s="8">
        <f>338.69-328.18</f>
        <v>10.509999999999991</v>
      </c>
      <c r="J28" s="14">
        <v>775</v>
      </c>
    </row>
    <row r="29" spans="1:11" x14ac:dyDescent="0.3">
      <c r="A29" s="8">
        <f t="shared" si="4"/>
        <v>-7.7399999999999523</v>
      </c>
      <c r="B29" s="8" t="s">
        <v>56</v>
      </c>
      <c r="C29" s="31">
        <v>46.88</v>
      </c>
      <c r="D29" s="14">
        <v>275.41000000000003</v>
      </c>
      <c r="E29" s="14">
        <v>7399.22</v>
      </c>
      <c r="F29" s="14">
        <v>0.2</v>
      </c>
      <c r="G29" s="43">
        <f>405.85-395.34</f>
        <v>10.510000000000048</v>
      </c>
      <c r="H29" s="14">
        <v>1300</v>
      </c>
      <c r="I29" s="8">
        <f>327.04-316.7</f>
        <v>10.340000000000032</v>
      </c>
      <c r="J29" s="14">
        <v>800</v>
      </c>
    </row>
    <row r="30" spans="1:11" x14ac:dyDescent="0.3">
      <c r="A30" s="8">
        <f t="shared" si="4"/>
        <v>-18.389999999999986</v>
      </c>
      <c r="B30" s="8" t="s">
        <v>57</v>
      </c>
      <c r="C30" s="31">
        <v>48.97</v>
      </c>
      <c r="D30" s="14">
        <v>264.76</v>
      </c>
      <c r="E30" s="14">
        <v>6790.9</v>
      </c>
      <c r="F30" s="14">
        <v>0.2</v>
      </c>
      <c r="G30" s="43">
        <f>406.52-395.87</f>
        <v>10.649999999999977</v>
      </c>
      <c r="H30" s="14">
        <v>1350</v>
      </c>
      <c r="I30" s="8">
        <f>315.01-305.81</f>
        <v>9.1999999999999886</v>
      </c>
      <c r="J30" s="14">
        <v>850</v>
      </c>
    </row>
    <row r="31" spans="1:11" x14ac:dyDescent="0.3">
      <c r="A31" s="8">
        <f t="shared" si="4"/>
        <v>-28.369999999999976</v>
      </c>
      <c r="B31" s="8" t="s">
        <v>79</v>
      </c>
      <c r="C31" s="31">
        <v>51.7</v>
      </c>
      <c r="D31" s="14">
        <v>254.78</v>
      </c>
      <c r="E31" s="14">
        <v>6072.33</v>
      </c>
      <c r="F31" s="14">
        <v>0.24</v>
      </c>
      <c r="G31" s="43">
        <f>427.01-417.2</f>
        <v>9.8100000000000023</v>
      </c>
      <c r="H31" s="14">
        <v>1500</v>
      </c>
      <c r="I31" s="8">
        <f>306.11-296.54</f>
        <v>9.5699999999999932</v>
      </c>
      <c r="J31" s="14">
        <v>1250</v>
      </c>
    </row>
    <row r="32" spans="1:11" x14ac:dyDescent="0.3">
      <c r="A32" s="8">
        <f t="shared" si="4"/>
        <v>-37.239999999999981</v>
      </c>
      <c r="B32" s="8" t="s">
        <v>80</v>
      </c>
      <c r="C32" s="31">
        <v>52.49</v>
      </c>
      <c r="D32" s="45">
        <v>245.91</v>
      </c>
      <c r="E32" s="14">
        <v>5376.98</v>
      </c>
      <c r="F32" s="14">
        <v>0.2</v>
      </c>
      <c r="G32" s="43">
        <f>398-388.09</f>
        <v>9.910000000000025</v>
      </c>
      <c r="H32" s="14">
        <v>1400</v>
      </c>
      <c r="I32" s="8">
        <f>298.42-288.35</f>
        <v>10.069999999999993</v>
      </c>
      <c r="J32" s="14">
        <v>750</v>
      </c>
    </row>
    <row r="33" spans="1:11" x14ac:dyDescent="0.3">
      <c r="A33" s="8">
        <f t="shared" si="4"/>
        <v>-44.72999999999999</v>
      </c>
      <c r="B33" s="8" t="s">
        <v>81</v>
      </c>
      <c r="C33" s="31">
        <v>53.5</v>
      </c>
      <c r="D33" s="14">
        <v>238.42</v>
      </c>
      <c r="E33" s="14">
        <v>4797.8</v>
      </c>
      <c r="F33" s="14">
        <v>0.17</v>
      </c>
      <c r="G33" s="43">
        <f>375.01-365.26</f>
        <v>9.75</v>
      </c>
      <c r="H33" s="14">
        <v>1350</v>
      </c>
      <c r="I33" s="8">
        <f>290.76-280.45</f>
        <v>10.310000000000002</v>
      </c>
      <c r="J33" s="14">
        <v>550</v>
      </c>
    </row>
    <row r="34" spans="1:11" x14ac:dyDescent="0.3">
      <c r="A34" s="64">
        <f t="shared" si="4"/>
        <v>-48.069999999999965</v>
      </c>
      <c r="B34" s="64" t="s">
        <v>132</v>
      </c>
      <c r="C34" s="65">
        <v>51.42</v>
      </c>
      <c r="D34" s="64">
        <v>235.08</v>
      </c>
      <c r="E34" s="66">
        <v>6108.85</v>
      </c>
      <c r="F34" s="66">
        <v>0.27</v>
      </c>
      <c r="G34" s="67">
        <f>443.86-433.29</f>
        <v>10.569999999999993</v>
      </c>
      <c r="H34" s="66">
        <v>750</v>
      </c>
      <c r="I34" s="64">
        <f>298.96-288.35</f>
        <v>10.609999999999957</v>
      </c>
      <c r="J34" s="66">
        <v>700</v>
      </c>
    </row>
    <row r="35" spans="1:11" x14ac:dyDescent="0.3">
      <c r="A35" s="8">
        <f t="shared" si="4"/>
        <v>-40.319999999999965</v>
      </c>
      <c r="B35" s="8" t="s">
        <v>91</v>
      </c>
      <c r="C35" s="31">
        <v>53.69</v>
      </c>
      <c r="D35" s="14">
        <v>242.83</v>
      </c>
      <c r="E35" s="14">
        <v>4675.46</v>
      </c>
      <c r="F35" s="14">
        <v>0.18</v>
      </c>
      <c r="G35" s="43">
        <f>424.67-413.97</f>
        <v>10.699999999999989</v>
      </c>
      <c r="H35" s="14">
        <v>1600</v>
      </c>
      <c r="I35" s="8">
        <f>309.99-298.7</f>
        <v>11.29000000000002</v>
      </c>
      <c r="J35" s="14">
        <v>800</v>
      </c>
    </row>
    <row r="36" spans="1:11" ht="15" thickBot="1" x14ac:dyDescent="0.35">
      <c r="A36" s="48">
        <f t="shared" si="4"/>
        <v>-53.97999999999999</v>
      </c>
      <c r="B36" s="48" t="s">
        <v>92</v>
      </c>
      <c r="C36" s="49">
        <v>55.24</v>
      </c>
      <c r="D36" s="14">
        <v>229.17</v>
      </c>
      <c r="E36" s="14">
        <v>4121.62</v>
      </c>
      <c r="F36" s="14">
        <v>0.14000000000000001</v>
      </c>
      <c r="G36" s="43">
        <f>358.71-348.46</f>
        <v>10.25</v>
      </c>
      <c r="H36" s="14">
        <v>1350</v>
      </c>
      <c r="I36" s="8">
        <f>279.33-269.65</f>
        <v>9.6800000000000068</v>
      </c>
      <c r="J36" s="14">
        <v>500</v>
      </c>
    </row>
    <row r="37" spans="1:11" ht="15" thickTop="1" x14ac:dyDescent="0.3">
      <c r="A37" s="46">
        <f t="shared" si="4"/>
        <v>-35.639999999999986</v>
      </c>
      <c r="B37" s="46" t="s">
        <v>78</v>
      </c>
      <c r="C37" s="35">
        <v>50.73</v>
      </c>
      <c r="D37" s="35">
        <v>247.51</v>
      </c>
      <c r="E37" s="35">
        <v>6000</v>
      </c>
      <c r="F37" s="35">
        <v>0.13</v>
      </c>
      <c r="G37" s="47">
        <f>415.35-404.54</f>
        <v>10.810000000000002</v>
      </c>
      <c r="H37" s="35">
        <v>2550</v>
      </c>
      <c r="I37" s="46">
        <f>313-303.59</f>
        <v>9.410000000000025</v>
      </c>
      <c r="J37" s="35">
        <v>1200</v>
      </c>
    </row>
    <row r="38" spans="1:11" x14ac:dyDescent="0.3">
      <c r="A38" s="8">
        <f t="shared" si="4"/>
        <v>-45.639999999999986</v>
      </c>
      <c r="B38" s="8" t="s">
        <v>78</v>
      </c>
      <c r="C38" s="31">
        <v>53.4</v>
      </c>
      <c r="D38" s="31">
        <v>237.51</v>
      </c>
      <c r="E38" s="31">
        <v>5300</v>
      </c>
      <c r="F38" s="31">
        <v>0.15</v>
      </c>
      <c r="G38" s="43">
        <f>408.65-396.35</f>
        <v>12.299999999999955</v>
      </c>
      <c r="H38" s="31">
        <v>1960</v>
      </c>
      <c r="I38" s="8">
        <f>293.89-283.93</f>
        <v>9.9599999999999795</v>
      </c>
      <c r="J38" s="31">
        <v>1100</v>
      </c>
    </row>
    <row r="39" spans="1:11" ht="15" thickBot="1" x14ac:dyDescent="0.35">
      <c r="A39" s="32">
        <f t="shared" ref="A39" si="5">D39-273.15-10</f>
        <v>-55.639999999999986</v>
      </c>
      <c r="B39" s="32" t="s">
        <v>78</v>
      </c>
      <c r="C39" s="32">
        <v>56.97</v>
      </c>
      <c r="D39" s="44">
        <v>227.51</v>
      </c>
      <c r="E39" s="44">
        <v>3950</v>
      </c>
      <c r="F39" s="44">
        <v>0.2</v>
      </c>
      <c r="G39" s="44">
        <f>415.76-405.06</f>
        <v>10.699999999999989</v>
      </c>
      <c r="H39" s="44">
        <v>1600</v>
      </c>
      <c r="I39" s="44">
        <f>278.35-268.76</f>
        <v>9.5900000000000318</v>
      </c>
      <c r="J39" s="44">
        <v>1200</v>
      </c>
    </row>
    <row r="40" spans="1:11" ht="15.6" thickTop="1" thickBot="1" x14ac:dyDescent="0.35"/>
    <row r="41" spans="1:11" ht="42.6" thickTop="1" thickBot="1" x14ac:dyDescent="0.35">
      <c r="A41" s="11" t="s">
        <v>33</v>
      </c>
      <c r="B41" s="11" t="s">
        <v>15</v>
      </c>
      <c r="C41" s="11" t="s">
        <v>22</v>
      </c>
      <c r="D41" s="11" t="s">
        <v>17</v>
      </c>
      <c r="E41" s="11" t="s">
        <v>16</v>
      </c>
      <c r="F41" s="11" t="s">
        <v>28</v>
      </c>
      <c r="G41" s="11" t="s">
        <v>20</v>
      </c>
      <c r="H41" s="11" t="s">
        <v>29</v>
      </c>
      <c r="I41" s="11" t="s">
        <v>21</v>
      </c>
      <c r="J41" s="11" t="s">
        <v>30</v>
      </c>
      <c r="K41" s="27"/>
    </row>
    <row r="42" spans="1:11" ht="15" thickTop="1" x14ac:dyDescent="0.3">
      <c r="A42" s="12">
        <v>20.980000000000018</v>
      </c>
      <c r="B42" s="12" t="s">
        <v>27</v>
      </c>
      <c r="C42" s="12">
        <v>42.9</v>
      </c>
      <c r="D42" s="10">
        <v>304.13</v>
      </c>
      <c r="E42" s="10">
        <v>7474.89</v>
      </c>
      <c r="F42" s="7">
        <v>0.31</v>
      </c>
      <c r="G42" s="6">
        <v>10.17</v>
      </c>
      <c r="H42" s="6">
        <v>900</v>
      </c>
      <c r="I42" s="6">
        <v>11.2</v>
      </c>
      <c r="J42" s="6">
        <v>700</v>
      </c>
    </row>
    <row r="43" spans="1:11" x14ac:dyDescent="0.3">
      <c r="A43" s="6">
        <f>D43-273.15-10</f>
        <v>12.850000000000023</v>
      </c>
      <c r="B43" s="6" t="s">
        <v>42</v>
      </c>
      <c r="C43" s="7">
        <v>42.72</v>
      </c>
      <c r="D43" s="4">
        <v>296</v>
      </c>
      <c r="E43" s="4">
        <v>7953.13</v>
      </c>
      <c r="F43" s="4">
        <v>0.25</v>
      </c>
      <c r="G43" s="6">
        <f>426.55-416.77</f>
        <v>9.7800000000000296</v>
      </c>
      <c r="H43" s="6">
        <v>900</v>
      </c>
      <c r="I43" s="6">
        <f>349.09-338.03</f>
        <v>11.060000000000002</v>
      </c>
      <c r="J43" s="6">
        <v>550</v>
      </c>
    </row>
    <row r="44" spans="1:11" x14ac:dyDescent="0.3">
      <c r="A44" s="6">
        <f t="shared" ref="A44:A45" si="6">D44-273.15-10</f>
        <v>3.4900000000000091</v>
      </c>
      <c r="B44" s="6" t="s">
        <v>58</v>
      </c>
      <c r="C44" s="7">
        <v>43.73</v>
      </c>
      <c r="D44" s="4">
        <v>286.64</v>
      </c>
      <c r="E44" s="4">
        <v>7971.48</v>
      </c>
      <c r="F44" s="4">
        <v>0.23</v>
      </c>
      <c r="G44" s="15">
        <f>418.04-407.11</f>
        <v>10.930000000000007</v>
      </c>
      <c r="H44" s="4">
        <v>800</v>
      </c>
      <c r="I44" s="6">
        <f>339.58-329.09</f>
        <v>10.490000000000009</v>
      </c>
      <c r="J44" s="4">
        <v>550</v>
      </c>
    </row>
    <row r="45" spans="1:11" x14ac:dyDescent="0.3">
      <c r="A45" s="6">
        <f t="shared" si="6"/>
        <v>-6.3700000000000045</v>
      </c>
      <c r="B45" s="6" t="s">
        <v>59</v>
      </c>
      <c r="C45" s="7">
        <v>45.41</v>
      </c>
      <c r="D45" s="4">
        <v>276.77999999999997</v>
      </c>
      <c r="E45" s="4">
        <v>7806.3</v>
      </c>
      <c r="F45" s="4">
        <v>0.24</v>
      </c>
      <c r="G45" s="15">
        <f>413.34-403.28</f>
        <v>10.060000000000002</v>
      </c>
      <c r="H45" s="4">
        <v>750</v>
      </c>
      <c r="I45" s="6">
        <f>327.48-317.49</f>
        <v>9.9900000000000091</v>
      </c>
      <c r="J45" s="4">
        <v>600</v>
      </c>
    </row>
    <row r="46" spans="1:11" x14ac:dyDescent="0.3">
      <c r="A46" s="6">
        <f t="shared" ref="A46:A52" si="7">D46-273.15-10</f>
        <v>-15.899999999999977</v>
      </c>
      <c r="B46" s="6" t="s">
        <v>60</v>
      </c>
      <c r="C46" s="6">
        <v>47.12</v>
      </c>
      <c r="D46" s="6">
        <v>267.25</v>
      </c>
      <c r="E46" s="6">
        <v>7493.5</v>
      </c>
      <c r="F46" s="6">
        <v>0.27</v>
      </c>
      <c r="G46" s="6">
        <f>423.63-413.88</f>
        <v>9.75</v>
      </c>
      <c r="H46" s="6">
        <v>700</v>
      </c>
      <c r="I46" s="6">
        <f>318.36-307.98</f>
        <v>10.379999999999995</v>
      </c>
      <c r="J46" s="6">
        <v>750</v>
      </c>
    </row>
    <row r="47" spans="1:11" x14ac:dyDescent="0.3">
      <c r="A47" s="6">
        <f t="shared" si="7"/>
        <v>-24.549999999999955</v>
      </c>
      <c r="B47" s="6" t="s">
        <v>93</v>
      </c>
      <c r="C47" s="7">
        <v>47.82</v>
      </c>
      <c r="D47" s="4">
        <v>258.60000000000002</v>
      </c>
      <c r="E47" s="4">
        <v>7237.87</v>
      </c>
      <c r="F47" s="4">
        <v>0.25</v>
      </c>
      <c r="G47" s="15">
        <f>411.4-401.45</f>
        <v>9.9499999999999886</v>
      </c>
      <c r="H47" s="4">
        <v>600</v>
      </c>
      <c r="I47" s="6">
        <f>310.5-300.37</f>
        <v>10.129999999999995</v>
      </c>
      <c r="J47" s="4">
        <v>550</v>
      </c>
    </row>
    <row r="48" spans="1:11" x14ac:dyDescent="0.3">
      <c r="A48" s="6">
        <f t="shared" si="7"/>
        <v>-32.759999999999991</v>
      </c>
      <c r="B48" s="6" t="s">
        <v>94</v>
      </c>
      <c r="C48" s="7">
        <v>48.07</v>
      </c>
      <c r="D48" s="4">
        <v>250.39</v>
      </c>
      <c r="E48" s="4">
        <v>7024.97</v>
      </c>
      <c r="F48" s="4">
        <v>0.22</v>
      </c>
      <c r="G48" s="15">
        <f>394.83-384.19</f>
        <v>10.639999999999986</v>
      </c>
      <c r="H48" s="4">
        <v>500</v>
      </c>
      <c r="I48" s="6">
        <f>304.62-294.01</f>
        <v>10.610000000000014</v>
      </c>
      <c r="J48" s="4">
        <v>425</v>
      </c>
    </row>
    <row r="49" spans="1:13" x14ac:dyDescent="0.3">
      <c r="A49" s="6">
        <f t="shared" si="7"/>
        <v>-39.919999999999987</v>
      </c>
      <c r="B49" s="6" t="s">
        <v>95</v>
      </c>
      <c r="C49" s="7">
        <v>48.71</v>
      </c>
      <c r="D49" s="4">
        <v>243.23</v>
      </c>
      <c r="E49" s="4">
        <v>6908.85</v>
      </c>
      <c r="F49" s="4">
        <v>0.22</v>
      </c>
      <c r="G49" s="15">
        <f>405.65-394.76</f>
        <v>10.889999999999986</v>
      </c>
      <c r="H49" s="4">
        <v>450</v>
      </c>
      <c r="I49" s="6">
        <f>303.64-293.55</f>
        <v>10.089999999999975</v>
      </c>
      <c r="J49" s="4">
        <v>425</v>
      </c>
    </row>
    <row r="50" spans="1:13" ht="15.6" customHeight="1" x14ac:dyDescent="0.3">
      <c r="A50" s="60">
        <f t="shared" si="7"/>
        <v>-47.929999999999978</v>
      </c>
      <c r="B50" s="60" t="s">
        <v>96</v>
      </c>
      <c r="C50" s="61">
        <v>49.03</v>
      </c>
      <c r="D50" s="62">
        <v>235.22</v>
      </c>
      <c r="E50" s="62">
        <v>6845.67</v>
      </c>
      <c r="F50" s="62">
        <v>0.2</v>
      </c>
      <c r="G50" s="63">
        <f>397.91-387.02</f>
        <v>10.890000000000043</v>
      </c>
      <c r="H50" s="62">
        <v>400</v>
      </c>
      <c r="I50" s="60">
        <f>299.96-290</f>
        <v>9.9599999999999795</v>
      </c>
      <c r="J50" s="62">
        <v>375</v>
      </c>
    </row>
    <row r="51" spans="1:13" x14ac:dyDescent="0.3">
      <c r="A51" s="64">
        <f t="shared" si="7"/>
        <v>-48.629999999999967</v>
      </c>
      <c r="B51" s="64" t="s">
        <v>126</v>
      </c>
      <c r="C51" s="65">
        <v>50.77</v>
      </c>
      <c r="D51" s="66">
        <v>234.52</v>
      </c>
      <c r="E51" s="66">
        <v>9291.4</v>
      </c>
      <c r="F51" s="66">
        <v>0.25</v>
      </c>
      <c r="G51" s="67">
        <f>402.99-393.07</f>
        <v>9.9200000000000159</v>
      </c>
      <c r="H51" s="66">
        <v>800</v>
      </c>
      <c r="I51" s="64">
        <f>291.3-280.3</f>
        <v>11</v>
      </c>
      <c r="J51" s="66">
        <v>800</v>
      </c>
    </row>
    <row r="52" spans="1:13" ht="15" thickBot="1" x14ac:dyDescent="0.35">
      <c r="A52" s="6">
        <f t="shared" si="7"/>
        <v>-58.269999999999982</v>
      </c>
      <c r="B52" s="6" t="s">
        <v>97</v>
      </c>
      <c r="C52" s="7">
        <v>49.88</v>
      </c>
      <c r="D52" s="4">
        <v>224.88</v>
      </c>
      <c r="E52" s="4">
        <v>6588.89</v>
      </c>
      <c r="F52" s="4">
        <v>0.2</v>
      </c>
      <c r="G52" s="15">
        <f>395.78-385.68</f>
        <v>10.099999999999966</v>
      </c>
      <c r="H52" s="4">
        <v>350</v>
      </c>
      <c r="I52" s="6">
        <f>291.73-281.76</f>
        <v>9.9700000000000273</v>
      </c>
      <c r="J52" s="4">
        <v>350</v>
      </c>
    </row>
    <row r="53" spans="1:13" ht="15.6" thickTop="1" thickBot="1" x14ac:dyDescent="0.35">
      <c r="A53" s="51">
        <f t="shared" ref="A53" si="8">D53-273.15-10</f>
        <v>-73.669999999999987</v>
      </c>
      <c r="B53" s="52" t="s">
        <v>85</v>
      </c>
      <c r="C53" s="51">
        <v>50.89</v>
      </c>
      <c r="D53" s="51">
        <v>209.48</v>
      </c>
      <c r="E53" s="51">
        <v>5725</v>
      </c>
      <c r="F53" s="51">
        <v>0.15</v>
      </c>
      <c r="G53" s="51">
        <f>346.7-336.49</f>
        <v>10.20999999999998</v>
      </c>
      <c r="H53" s="51">
        <v>250</v>
      </c>
      <c r="I53" s="51">
        <f>271.64-261.71</f>
        <v>9.9300000000000068</v>
      </c>
      <c r="J53" s="51">
        <v>250</v>
      </c>
    </row>
    <row r="54" spans="1:13" ht="50.4" customHeight="1" thickTop="1" thickBot="1" x14ac:dyDescent="0.35">
      <c r="K54" s="27"/>
    </row>
    <row r="55" spans="1:13" ht="44.4" customHeight="1" thickTop="1" thickBot="1" x14ac:dyDescent="0.35">
      <c r="A55" s="11" t="s">
        <v>33</v>
      </c>
      <c r="B55" s="11" t="s">
        <v>15</v>
      </c>
      <c r="C55" s="11" t="s">
        <v>22</v>
      </c>
      <c r="D55" s="11" t="s">
        <v>17</v>
      </c>
      <c r="E55" s="11" t="s">
        <v>16</v>
      </c>
      <c r="F55" s="11" t="s">
        <v>28</v>
      </c>
      <c r="G55" s="11" t="s">
        <v>20</v>
      </c>
      <c r="H55" s="11" t="s">
        <v>29</v>
      </c>
      <c r="I55" s="11" t="s">
        <v>21</v>
      </c>
      <c r="J55" s="11" t="s">
        <v>30</v>
      </c>
      <c r="L55" s="18" t="s">
        <v>32</v>
      </c>
      <c r="M55" s="19">
        <v>0.75</v>
      </c>
    </row>
    <row r="56" spans="1:13" ht="13.8" customHeight="1" thickTop="1" x14ac:dyDescent="0.3">
      <c r="A56" s="12">
        <v>20.980000000000018</v>
      </c>
      <c r="B56" s="12" t="s">
        <v>27</v>
      </c>
      <c r="C56" s="12">
        <v>42.9</v>
      </c>
      <c r="D56" s="10">
        <v>304.13</v>
      </c>
      <c r="E56" s="10">
        <v>7474.89</v>
      </c>
      <c r="F56" s="7">
        <v>0.31</v>
      </c>
      <c r="G56" s="6">
        <v>10.17</v>
      </c>
      <c r="H56" s="6">
        <v>900</v>
      </c>
      <c r="I56" s="6">
        <v>11.2</v>
      </c>
      <c r="J56" s="6">
        <v>700</v>
      </c>
      <c r="L56" s="20" t="s">
        <v>18</v>
      </c>
      <c r="M56" s="21">
        <v>823.15</v>
      </c>
    </row>
    <row r="57" spans="1:13" ht="13.8" customHeight="1" x14ac:dyDescent="0.3">
      <c r="A57" s="6">
        <f t="shared" ref="A57:A59" si="9">D57-273.15-10</f>
        <v>13.350000000000023</v>
      </c>
      <c r="B57" s="6" t="s">
        <v>45</v>
      </c>
      <c r="C57" s="7">
        <v>43.03</v>
      </c>
      <c r="D57" s="4">
        <v>296.5</v>
      </c>
      <c r="E57" s="4">
        <v>8281.61</v>
      </c>
      <c r="F57" s="4">
        <v>0.26</v>
      </c>
      <c r="G57" s="6">
        <f>351.7-340.73</f>
        <v>10.96999999999997</v>
      </c>
      <c r="H57" s="6">
        <v>1050</v>
      </c>
      <c r="I57" s="6">
        <f>440.13-429.27</f>
        <v>10.860000000000014</v>
      </c>
      <c r="J57" s="6">
        <v>700</v>
      </c>
      <c r="L57" s="22" t="s">
        <v>19</v>
      </c>
      <c r="M57" s="23">
        <v>25000</v>
      </c>
    </row>
    <row r="58" spans="1:13" ht="13.8" customHeight="1" x14ac:dyDescent="0.3">
      <c r="A58" s="6">
        <f t="shared" si="9"/>
        <v>4.1000000000000227</v>
      </c>
      <c r="B58" s="6" t="s">
        <v>46</v>
      </c>
      <c r="C58" s="7">
        <v>44.41</v>
      </c>
      <c r="D58" s="4">
        <v>287.25</v>
      </c>
      <c r="E58" s="4">
        <v>8766.7900000000009</v>
      </c>
      <c r="F58" s="4">
        <v>0.24</v>
      </c>
      <c r="G58" s="6">
        <f>340.76-330.79</f>
        <v>9.9699999999999704</v>
      </c>
      <c r="H58" s="4">
        <v>1200</v>
      </c>
      <c r="I58" s="6">
        <f>429.92-418.93</f>
        <v>10.990000000000009</v>
      </c>
      <c r="J58" s="4">
        <v>850</v>
      </c>
      <c r="L58" s="20" t="s">
        <v>49</v>
      </c>
      <c r="M58" s="24">
        <v>10000</v>
      </c>
    </row>
    <row r="59" spans="1:13" ht="13.8" customHeight="1" thickBot="1" x14ac:dyDescent="0.35">
      <c r="A59" s="6">
        <f t="shared" si="9"/>
        <v>-6.1599999999999682</v>
      </c>
      <c r="B59" s="13" t="s">
        <v>47</v>
      </c>
      <c r="C59" s="14">
        <v>45.25</v>
      </c>
      <c r="D59" s="14">
        <v>276.99</v>
      </c>
      <c r="E59" s="14">
        <v>8989.2000000000007</v>
      </c>
      <c r="F59" s="14">
        <v>0.2</v>
      </c>
      <c r="G59" s="8">
        <f>401.41-391.62</f>
        <v>9.7900000000000205</v>
      </c>
      <c r="H59" s="14">
        <v>1300</v>
      </c>
      <c r="I59" s="8">
        <f>330.14-319.96</f>
        <v>10.180000000000007</v>
      </c>
      <c r="J59" s="14">
        <v>700</v>
      </c>
      <c r="L59" s="25" t="s">
        <v>31</v>
      </c>
      <c r="M59" s="26">
        <v>0.9</v>
      </c>
    </row>
    <row r="60" spans="1:13" ht="15" thickTop="1" x14ac:dyDescent="0.3">
      <c r="A60" s="6">
        <f>D60-273.15-10</f>
        <v>-17.70999999999998</v>
      </c>
      <c r="B60" s="6" t="s">
        <v>48</v>
      </c>
      <c r="C60" s="6">
        <v>47.29</v>
      </c>
      <c r="D60" s="6">
        <v>265.44</v>
      </c>
      <c r="E60" s="6">
        <v>9055.31</v>
      </c>
      <c r="F60" s="6">
        <v>0.2</v>
      </c>
      <c r="G60" s="6">
        <f>397.88-387.19</f>
        <v>10.689999999999998</v>
      </c>
      <c r="H60" s="6">
        <v>1350</v>
      </c>
      <c r="I60" s="6">
        <f>316.35-306.4</f>
        <v>9.9500000000000455</v>
      </c>
      <c r="J60" s="6">
        <v>850</v>
      </c>
    </row>
    <row r="61" spans="1:13" ht="15" customHeight="1" x14ac:dyDescent="0.3">
      <c r="A61" s="6">
        <f t="shared" ref="A61:A62" si="10">D61-273.15-10</f>
        <v>-30.499999999999972</v>
      </c>
      <c r="B61" s="8" t="s">
        <v>76</v>
      </c>
      <c r="C61" s="31">
        <v>50.53</v>
      </c>
      <c r="D61" s="31">
        <v>252.65</v>
      </c>
      <c r="E61" s="31">
        <v>8692.27</v>
      </c>
      <c r="F61" s="31">
        <v>0.2</v>
      </c>
      <c r="G61" s="8">
        <v>10.4</v>
      </c>
      <c r="H61" s="31">
        <v>1200</v>
      </c>
      <c r="I61" s="8">
        <v>11.5</v>
      </c>
      <c r="J61" s="31">
        <v>800</v>
      </c>
      <c r="K61" s="3"/>
      <c r="L61" s="17"/>
    </row>
    <row r="62" spans="1:13" x14ac:dyDescent="0.3">
      <c r="A62" s="6">
        <f t="shared" si="10"/>
        <v>-44.019999999999982</v>
      </c>
      <c r="B62" s="8" t="s">
        <v>122</v>
      </c>
      <c r="C62" s="31">
        <v>51.41</v>
      </c>
      <c r="D62" s="31">
        <v>239.13</v>
      </c>
      <c r="E62" s="31">
        <v>8027.37</v>
      </c>
      <c r="F62" s="31">
        <v>0.2</v>
      </c>
      <c r="G62" s="8">
        <f>403.85-392.14</f>
        <v>11.710000000000036</v>
      </c>
      <c r="H62" s="31">
        <v>1400</v>
      </c>
      <c r="I62" s="8">
        <f>299.83-289.49</f>
        <v>10.339999999999975</v>
      </c>
      <c r="J62" s="31">
        <v>675</v>
      </c>
    </row>
    <row r="63" spans="1:13" x14ac:dyDescent="0.3">
      <c r="A63" s="6">
        <f>D63-273.15-10</f>
        <v>-56.96999999999997</v>
      </c>
      <c r="B63" s="8" t="s">
        <v>75</v>
      </c>
      <c r="C63" s="31">
        <v>53.94</v>
      </c>
      <c r="D63" s="31">
        <v>226.18</v>
      </c>
      <c r="E63" s="31">
        <v>7111.83</v>
      </c>
      <c r="F63" s="31">
        <v>0.2</v>
      </c>
      <c r="G63" s="8">
        <f>383.8-372.19</f>
        <v>11.610000000000014</v>
      </c>
      <c r="H63" s="31">
        <v>1100</v>
      </c>
      <c r="I63" s="8">
        <f>281.38-271.21</f>
        <v>10.170000000000016</v>
      </c>
      <c r="J63" s="31">
        <v>525</v>
      </c>
    </row>
    <row r="64" spans="1:13" x14ac:dyDescent="0.3">
      <c r="A64" s="6">
        <f>D64-273.15-10</f>
        <v>-69.559999999999974</v>
      </c>
      <c r="B64" s="6" t="s">
        <v>74</v>
      </c>
      <c r="C64" s="14">
        <v>55.11</v>
      </c>
      <c r="D64" s="14">
        <v>213.59</v>
      </c>
      <c r="E64" s="14">
        <v>6335.04</v>
      </c>
      <c r="F64" s="14">
        <v>0.15</v>
      </c>
      <c r="G64" s="8">
        <f>339.8-329.54</f>
        <v>10.259999999999991</v>
      </c>
      <c r="H64" s="14">
        <v>950</v>
      </c>
      <c r="I64" s="8">
        <f>271.03-260.15</f>
        <v>10.879999999999995</v>
      </c>
      <c r="J64" s="14">
        <v>350</v>
      </c>
    </row>
    <row r="65" spans="1:13" x14ac:dyDescent="0.3">
      <c r="A65" s="60">
        <f>D65-273.15-10</f>
        <v>-39.139999999999986</v>
      </c>
      <c r="B65" s="60" t="s">
        <v>127</v>
      </c>
      <c r="C65" s="62">
        <v>49.81</v>
      </c>
      <c r="D65" s="62">
        <v>244.01</v>
      </c>
      <c r="E65" s="62">
        <v>12657.38</v>
      </c>
      <c r="F65" s="62">
        <v>0.14000000000000001</v>
      </c>
      <c r="G65" s="60">
        <f>357.33-347.32</f>
        <v>10.009999999999991</v>
      </c>
      <c r="H65" s="62">
        <v>1700</v>
      </c>
      <c r="I65" s="60">
        <f>278.27-267.86</f>
        <v>10.409999999999968</v>
      </c>
      <c r="J65" s="62">
        <v>2700</v>
      </c>
    </row>
    <row r="66" spans="1:13" ht="15" thickBot="1" x14ac:dyDescent="0.35">
      <c r="A66" s="5">
        <f>D66-273.15-10</f>
        <v>-81.699999999999989</v>
      </c>
      <c r="B66" s="5" t="s">
        <v>73</v>
      </c>
      <c r="C66" s="53">
        <v>57.9</v>
      </c>
      <c r="D66" s="53">
        <v>201.45</v>
      </c>
      <c r="E66" s="53">
        <v>5461.41</v>
      </c>
      <c r="F66" s="53">
        <v>0.17</v>
      </c>
      <c r="G66" s="44">
        <f>343.16-333.54</f>
        <v>9.6200000000000045</v>
      </c>
      <c r="H66" s="53">
        <v>900</v>
      </c>
      <c r="I66" s="44">
        <f>259.95-249.21</f>
        <v>10.739999999999981</v>
      </c>
      <c r="J66" s="53">
        <v>350</v>
      </c>
    </row>
    <row r="67" spans="1:13" ht="15.6" thickTop="1" thickBot="1" x14ac:dyDescent="0.35">
      <c r="A67" s="36">
        <f>D67-273.15-10</f>
        <v>-92.589999999999975</v>
      </c>
      <c r="B67" s="38" t="s">
        <v>72</v>
      </c>
      <c r="C67" s="5">
        <v>61.09</v>
      </c>
      <c r="D67" s="39">
        <v>190.56</v>
      </c>
      <c r="E67" s="5">
        <v>4799.2</v>
      </c>
      <c r="F67" s="5">
        <v>0.2</v>
      </c>
      <c r="G67" s="5"/>
      <c r="H67" s="5"/>
      <c r="I67" s="5"/>
      <c r="J67" s="5"/>
    </row>
    <row r="68" spans="1:13" ht="15.6" thickTop="1" thickBot="1" x14ac:dyDescent="0.35">
      <c r="B68" s="6"/>
      <c r="C68" s="6"/>
      <c r="D68" s="7"/>
      <c r="E68" s="7"/>
      <c r="F68" s="7"/>
    </row>
    <row r="69" spans="1:13" ht="42.6" thickTop="1" thickBot="1" x14ac:dyDescent="0.35">
      <c r="A69" s="11" t="s">
        <v>33</v>
      </c>
      <c r="B69" s="11" t="s">
        <v>15</v>
      </c>
      <c r="C69" s="11" t="s">
        <v>22</v>
      </c>
      <c r="D69" s="11" t="s">
        <v>17</v>
      </c>
      <c r="E69" s="11" t="s">
        <v>16</v>
      </c>
      <c r="F69" s="11" t="s">
        <v>28</v>
      </c>
      <c r="G69" s="11" t="s">
        <v>20</v>
      </c>
      <c r="H69" s="11" t="s">
        <v>29</v>
      </c>
      <c r="I69" s="11" t="s">
        <v>21</v>
      </c>
      <c r="J69" s="11" t="s">
        <v>30</v>
      </c>
      <c r="K69" s="27"/>
    </row>
    <row r="70" spans="1:13" ht="15" thickTop="1" x14ac:dyDescent="0.3">
      <c r="A70" s="12">
        <v>20.980000000000018</v>
      </c>
      <c r="B70" s="12" t="s">
        <v>27</v>
      </c>
      <c r="C70" s="12">
        <v>42.9</v>
      </c>
      <c r="D70" s="10">
        <v>304.13</v>
      </c>
      <c r="E70" s="10">
        <v>7474.89</v>
      </c>
      <c r="F70" s="7">
        <v>0.31</v>
      </c>
      <c r="G70" s="6">
        <v>10.17</v>
      </c>
      <c r="H70" s="6">
        <v>900</v>
      </c>
      <c r="I70" s="6">
        <v>11.2</v>
      </c>
      <c r="J70" s="6">
        <v>700</v>
      </c>
    </row>
    <row r="71" spans="1:13" x14ac:dyDescent="0.3">
      <c r="A71" s="6">
        <f>D71-273.15-10</f>
        <v>11.930000000000007</v>
      </c>
      <c r="B71" s="6" t="s">
        <v>23</v>
      </c>
      <c r="C71" s="7">
        <v>43.42</v>
      </c>
      <c r="D71" s="4">
        <v>295.08</v>
      </c>
      <c r="E71" s="4">
        <v>8704.4699999999993</v>
      </c>
      <c r="F71" s="4">
        <v>0.28000000000000003</v>
      </c>
      <c r="G71" s="6">
        <f>449.48-438.77</f>
        <v>10.710000000000036</v>
      </c>
      <c r="H71" s="6">
        <v>1100</v>
      </c>
      <c r="I71" s="6">
        <f>349.14-339.1</f>
        <v>10.039999999999964</v>
      </c>
      <c r="J71" s="6">
        <v>940</v>
      </c>
    </row>
    <row r="72" spans="1:13" x14ac:dyDescent="0.3">
      <c r="A72" s="6">
        <f t="shared" ref="A72:A73" si="11">D72-273.15-10</f>
        <v>1.4700000000000273</v>
      </c>
      <c r="B72" s="6" t="s">
        <v>24</v>
      </c>
      <c r="C72" s="7">
        <v>44.32</v>
      </c>
      <c r="D72" s="4">
        <v>284.62</v>
      </c>
      <c r="E72" s="4">
        <v>9749.27</v>
      </c>
      <c r="F72" s="4">
        <v>0.25</v>
      </c>
      <c r="G72" s="6">
        <f>433.35-421.11</f>
        <v>12.240000000000009</v>
      </c>
      <c r="H72" s="4">
        <v>1200</v>
      </c>
      <c r="I72" s="6">
        <f>335.68-325.68</f>
        <v>10</v>
      </c>
      <c r="J72" s="4">
        <v>1150</v>
      </c>
    </row>
    <row r="73" spans="1:13" x14ac:dyDescent="0.3">
      <c r="A73" s="6">
        <f t="shared" si="11"/>
        <v>-10.549999999999955</v>
      </c>
      <c r="B73" s="13" t="s">
        <v>25</v>
      </c>
      <c r="C73" s="14">
        <v>47.68</v>
      </c>
      <c r="D73" s="14">
        <v>272.60000000000002</v>
      </c>
      <c r="E73" s="14">
        <v>11233.98</v>
      </c>
      <c r="F73" s="14">
        <v>0.21</v>
      </c>
      <c r="G73" s="8">
        <f>392.08-381.44</f>
        <v>10.639999999999986</v>
      </c>
      <c r="H73" s="14">
        <v>1450</v>
      </c>
      <c r="I73" s="8">
        <f>309.04-298.08</f>
        <v>10.960000000000036</v>
      </c>
      <c r="J73" s="14">
        <v>1700</v>
      </c>
    </row>
    <row r="74" spans="1:13" s="3" customFormat="1" x14ac:dyDescent="0.3">
      <c r="A74" s="6">
        <f>D74-273.15-10</f>
        <v>-24.21999999999997</v>
      </c>
      <c r="B74" s="6" t="s">
        <v>26</v>
      </c>
      <c r="C74" s="6">
        <v>47.39</v>
      </c>
      <c r="D74" s="6">
        <v>258.93</v>
      </c>
      <c r="E74" s="41">
        <v>12328.27</v>
      </c>
      <c r="F74" s="6">
        <v>0.18</v>
      </c>
      <c r="G74" s="6">
        <f>382.23-371.11</f>
        <v>11.120000000000005</v>
      </c>
      <c r="H74" s="6">
        <v>1800</v>
      </c>
      <c r="I74" s="6">
        <f>297.86-287.37</f>
        <v>10.490000000000009</v>
      </c>
      <c r="J74" s="6">
        <v>2200</v>
      </c>
      <c r="L74" s="59"/>
      <c r="M74" s="59"/>
    </row>
    <row r="75" spans="1:13" s="3" customFormat="1" x14ac:dyDescent="0.3">
      <c r="A75" s="6">
        <f t="shared" ref="A75:A79" si="12">D75-273.15-10</f>
        <v>-42.349999999999966</v>
      </c>
      <c r="B75" s="6" t="s">
        <v>112</v>
      </c>
      <c r="C75" s="8"/>
      <c r="D75" s="14">
        <v>240.8</v>
      </c>
      <c r="E75" s="14">
        <v>13641.63</v>
      </c>
      <c r="F75" s="8"/>
      <c r="G75" s="8"/>
      <c r="H75" s="8"/>
      <c r="I75" s="8"/>
      <c r="J75" s="8"/>
      <c r="L75" s="59"/>
      <c r="M75" s="59"/>
    </row>
    <row r="76" spans="1:13" s="3" customFormat="1" x14ac:dyDescent="0.3">
      <c r="A76" s="6">
        <f t="shared" si="12"/>
        <v>-111.35999999999999</v>
      </c>
      <c r="B76" s="6" t="s">
        <v>113</v>
      </c>
      <c r="C76" s="8"/>
      <c r="D76" s="14">
        <v>171.79</v>
      </c>
      <c r="E76" s="14">
        <v>33145.83</v>
      </c>
      <c r="F76" s="8"/>
      <c r="G76" s="8"/>
      <c r="H76" s="8"/>
      <c r="I76" s="8"/>
      <c r="J76" s="8"/>
      <c r="L76" s="59"/>
      <c r="M76" s="59"/>
    </row>
    <row r="77" spans="1:13" x14ac:dyDescent="0.3">
      <c r="A77" s="6">
        <f t="shared" si="12"/>
        <v>-133.29999999999998</v>
      </c>
      <c r="B77" s="6" t="s">
        <v>114</v>
      </c>
      <c r="C77" s="8"/>
      <c r="D77" s="14">
        <v>149.85</v>
      </c>
      <c r="E77" s="14">
        <v>35320.03</v>
      </c>
      <c r="F77" s="8"/>
      <c r="G77" s="8"/>
      <c r="H77" s="8"/>
      <c r="I77" s="8"/>
      <c r="J77" s="8"/>
    </row>
    <row r="78" spans="1:13" x14ac:dyDescent="0.3">
      <c r="A78" s="6">
        <f t="shared" si="12"/>
        <v>-116.03999999999996</v>
      </c>
      <c r="B78" s="6" t="s">
        <v>115</v>
      </c>
      <c r="D78" s="14">
        <v>167.11</v>
      </c>
      <c r="E78" s="14">
        <v>4270.66</v>
      </c>
    </row>
    <row r="79" spans="1:13" ht="15" thickBot="1" x14ac:dyDescent="0.35">
      <c r="A79" s="6">
        <f t="shared" si="12"/>
        <v>-133.16999999999999</v>
      </c>
      <c r="B79" s="6" t="s">
        <v>116</v>
      </c>
      <c r="C79" s="14"/>
      <c r="D79" s="14">
        <v>149.97999999999999</v>
      </c>
      <c r="E79" s="14">
        <v>3882.33</v>
      </c>
      <c r="F79" s="14"/>
      <c r="G79" s="8"/>
      <c r="H79" s="14"/>
      <c r="I79" s="8"/>
      <c r="J79" s="14"/>
    </row>
    <row r="80" spans="1:13" ht="15.6" thickTop="1" thickBot="1" x14ac:dyDescent="0.35">
      <c r="A80" s="51">
        <f>D80-273.15-10</f>
        <v>-150.28999999999996</v>
      </c>
      <c r="B80" s="11" t="s">
        <v>77</v>
      </c>
      <c r="C80" s="51">
        <v>67.67</v>
      </c>
      <c r="D80" s="51">
        <v>132.86000000000001</v>
      </c>
      <c r="E80" s="54">
        <v>3694</v>
      </c>
      <c r="F80" s="51">
        <v>0.2</v>
      </c>
      <c r="G80" s="51">
        <f>310.31-299.44</f>
        <v>10.870000000000005</v>
      </c>
      <c r="H80" s="51">
        <v>375</v>
      </c>
      <c r="I80" s="51">
        <f>182.98-172.5</f>
        <v>10.47999999999999</v>
      </c>
      <c r="J80" s="51">
        <v>325</v>
      </c>
    </row>
    <row r="81" spans="1:11" ht="15.6" thickTop="1" thickBot="1" x14ac:dyDescent="0.35">
      <c r="B81" s="6"/>
      <c r="C81" s="6"/>
      <c r="D81" s="7"/>
      <c r="E81" s="7"/>
      <c r="F81" s="7"/>
    </row>
    <row r="82" spans="1:11" ht="42.6" thickTop="1" thickBot="1" x14ac:dyDescent="0.35">
      <c r="A82" s="11" t="s">
        <v>33</v>
      </c>
      <c r="B82" s="11" t="s">
        <v>15</v>
      </c>
      <c r="C82" s="11" t="s">
        <v>22</v>
      </c>
      <c r="D82" s="11" t="s">
        <v>17</v>
      </c>
      <c r="E82" s="11" t="s">
        <v>16</v>
      </c>
      <c r="F82" s="11" t="s">
        <v>28</v>
      </c>
      <c r="G82" s="11" t="s">
        <v>20</v>
      </c>
      <c r="H82" s="11" t="s">
        <v>29</v>
      </c>
      <c r="I82" s="11" t="s">
        <v>21</v>
      </c>
      <c r="J82" s="11" t="s">
        <v>30</v>
      </c>
      <c r="K82" s="27"/>
    </row>
    <row r="83" spans="1:11" ht="15" thickTop="1" x14ac:dyDescent="0.3">
      <c r="A83" s="12">
        <v>20.980000000000018</v>
      </c>
      <c r="B83" s="12" t="s">
        <v>27</v>
      </c>
      <c r="C83" s="12">
        <v>42.9</v>
      </c>
      <c r="D83" s="10">
        <v>304.13</v>
      </c>
      <c r="E83" s="10">
        <v>7474.89</v>
      </c>
      <c r="F83" s="7">
        <v>0.31</v>
      </c>
      <c r="G83" s="6">
        <v>10.17</v>
      </c>
      <c r="H83" s="6">
        <v>900</v>
      </c>
      <c r="I83" s="6">
        <v>11.2</v>
      </c>
      <c r="J83" s="6">
        <v>700</v>
      </c>
    </row>
    <row r="84" spans="1:11" x14ac:dyDescent="0.3">
      <c r="A84" s="6">
        <f>D84-273.15-10</f>
        <v>12.129999999999995</v>
      </c>
      <c r="B84" s="6" t="s">
        <v>34</v>
      </c>
      <c r="C84" s="7">
        <v>42.66</v>
      </c>
      <c r="D84" s="4">
        <v>295.27999999999997</v>
      </c>
      <c r="E84" s="4">
        <v>8958.59</v>
      </c>
      <c r="F84" s="4">
        <v>0.25</v>
      </c>
      <c r="G84" s="6">
        <f>438.34-426.9</f>
        <v>11.439999999999998</v>
      </c>
      <c r="H84" s="6">
        <v>1100</v>
      </c>
      <c r="I84" s="6">
        <f>350.8-340.2</f>
        <v>10.600000000000023</v>
      </c>
      <c r="J84" s="6">
        <v>800</v>
      </c>
    </row>
    <row r="85" spans="1:11" x14ac:dyDescent="0.3">
      <c r="A85" s="6">
        <f t="shared" ref="A85:A86" si="13">D85-273.15-10</f>
        <v>1.1400000000000432</v>
      </c>
      <c r="B85" s="6" t="s">
        <v>35</v>
      </c>
      <c r="C85" s="7">
        <v>43.97</v>
      </c>
      <c r="D85" s="4">
        <v>284.29000000000002</v>
      </c>
      <c r="E85" s="4">
        <v>10559.01</v>
      </c>
      <c r="F85" s="4">
        <v>0.22</v>
      </c>
      <c r="G85" s="6">
        <f>413.47-402.23</f>
        <v>11.240000000000009</v>
      </c>
      <c r="H85" s="4">
        <v>1400</v>
      </c>
      <c r="I85" s="6">
        <f>331.3-321.34</f>
        <v>9.9600000000000364</v>
      </c>
      <c r="J85" s="4">
        <v>1200</v>
      </c>
    </row>
    <row r="86" spans="1:11" x14ac:dyDescent="0.3">
      <c r="A86" s="6">
        <f t="shared" si="13"/>
        <v>-10.439999999999998</v>
      </c>
      <c r="B86" s="13" t="s">
        <v>37</v>
      </c>
      <c r="C86" s="14">
        <v>44.41</v>
      </c>
      <c r="D86" s="14">
        <v>272.70999999999998</v>
      </c>
      <c r="E86" s="14">
        <v>12347.67</v>
      </c>
      <c r="F86" s="14">
        <v>0.18</v>
      </c>
      <c r="G86" s="8">
        <f>317.84-306.7</f>
        <v>11.139999999999986</v>
      </c>
      <c r="H86" s="14">
        <v>2000</v>
      </c>
      <c r="I86" s="8">
        <f>383.86-373.67</f>
        <v>10.189999999999998</v>
      </c>
      <c r="J86" s="14">
        <v>1200</v>
      </c>
    </row>
    <row r="87" spans="1:11" x14ac:dyDescent="0.3">
      <c r="A87" s="6">
        <f>D87-273.15-10</f>
        <v>-25.299999999999955</v>
      </c>
      <c r="B87" s="6" t="s">
        <v>36</v>
      </c>
      <c r="C87" s="6"/>
      <c r="D87" s="14">
        <v>257.85000000000002</v>
      </c>
      <c r="E87" s="14">
        <v>14526.98</v>
      </c>
      <c r="F87" s="6">
        <v>0.14000000000000001</v>
      </c>
      <c r="G87" s="6"/>
      <c r="H87" s="6">
        <v>2400</v>
      </c>
      <c r="I87" s="6"/>
      <c r="J87" s="6">
        <v>1400</v>
      </c>
    </row>
    <row r="88" spans="1:11" x14ac:dyDescent="0.3">
      <c r="A88" s="6"/>
      <c r="B88" s="6" t="s">
        <v>121</v>
      </c>
      <c r="C88" s="6"/>
      <c r="D88" s="14">
        <v>234.74</v>
      </c>
      <c r="E88" s="14">
        <v>17968.990000000002</v>
      </c>
      <c r="F88" s="6"/>
      <c r="G88" s="6"/>
      <c r="H88" s="6"/>
      <c r="I88" s="6"/>
      <c r="J88" s="6"/>
    </row>
    <row r="89" spans="1:11" x14ac:dyDescent="0.3">
      <c r="A89" s="6"/>
      <c r="B89" s="6" t="s">
        <v>120</v>
      </c>
      <c r="C89" s="6"/>
      <c r="D89" s="14">
        <v>219.68</v>
      </c>
      <c r="E89" s="14">
        <v>43385</v>
      </c>
      <c r="F89" s="6"/>
      <c r="G89" s="6"/>
      <c r="H89" s="6"/>
      <c r="I89" s="6"/>
      <c r="J89" s="6"/>
    </row>
    <row r="90" spans="1:11" x14ac:dyDescent="0.3">
      <c r="A90" s="6"/>
      <c r="B90" s="6" t="s">
        <v>119</v>
      </c>
      <c r="C90" s="6"/>
      <c r="D90" s="14">
        <v>199.01</v>
      </c>
      <c r="E90" s="14">
        <v>205940</v>
      </c>
      <c r="F90" s="6"/>
      <c r="G90" s="6"/>
      <c r="H90" s="6"/>
      <c r="I90" s="6"/>
      <c r="J90" s="6"/>
    </row>
    <row r="91" spans="1:11" x14ac:dyDescent="0.3">
      <c r="A91" s="6"/>
      <c r="B91" s="6" t="s">
        <v>118</v>
      </c>
      <c r="C91" s="14"/>
      <c r="D91" s="14">
        <v>177.41</v>
      </c>
      <c r="E91" s="14">
        <v>407450</v>
      </c>
      <c r="F91" s="14"/>
      <c r="G91" s="8"/>
      <c r="H91" s="14"/>
      <c r="I91" s="8"/>
      <c r="J91" s="14"/>
    </row>
    <row r="92" spans="1:11" ht="15" thickBot="1" x14ac:dyDescent="0.35">
      <c r="A92" s="6"/>
      <c r="B92" s="6" t="s">
        <v>117</v>
      </c>
      <c r="C92" s="14"/>
      <c r="D92" s="14">
        <v>153.96</v>
      </c>
      <c r="E92" s="14">
        <v>32773</v>
      </c>
      <c r="F92" s="14"/>
      <c r="G92" s="8"/>
      <c r="H92" s="14"/>
      <c r="I92" s="8"/>
      <c r="J92" s="14"/>
    </row>
    <row r="93" spans="1:11" ht="15.6" thickTop="1" thickBot="1" x14ac:dyDescent="0.35">
      <c r="A93" s="11">
        <f>D93-273.15-10</f>
        <v>-156.95799999999997</v>
      </c>
      <c r="B93" s="11" t="s">
        <v>83</v>
      </c>
      <c r="C93" s="54">
        <v>69.239999999999995</v>
      </c>
      <c r="D93" s="55">
        <f>126.192</f>
        <v>126.19199999999999</v>
      </c>
      <c r="E93" s="54">
        <v>3595.8</v>
      </c>
      <c r="F93" s="54">
        <v>0.22</v>
      </c>
      <c r="G93" s="54">
        <f>175.27-164.93</f>
        <v>10.340000000000003</v>
      </c>
      <c r="H93" s="54">
        <v>375</v>
      </c>
      <c r="I93" s="54">
        <f>324.93-314.3</f>
        <v>10.629999999999995</v>
      </c>
      <c r="J93" s="54">
        <v>400</v>
      </c>
    </row>
    <row r="94" spans="1:11" ht="15.6" thickTop="1" thickBot="1" x14ac:dyDescent="0.35"/>
    <row r="95" spans="1:11" ht="42.6" thickTop="1" thickBot="1" x14ac:dyDescent="0.35">
      <c r="A95" s="11" t="s">
        <v>33</v>
      </c>
      <c r="B95" s="11" t="s">
        <v>15</v>
      </c>
      <c r="C95" s="11" t="s">
        <v>22</v>
      </c>
      <c r="D95" s="11" t="s">
        <v>17</v>
      </c>
      <c r="E95" s="11" t="s">
        <v>16</v>
      </c>
      <c r="F95" s="11" t="s">
        <v>28</v>
      </c>
      <c r="G95" s="11" t="s">
        <v>20</v>
      </c>
      <c r="H95" s="11" t="s">
        <v>29</v>
      </c>
      <c r="I95" s="11" t="s">
        <v>21</v>
      </c>
      <c r="J95" s="11" t="s">
        <v>30</v>
      </c>
    </row>
    <row r="96" spans="1:11" ht="15" thickTop="1" x14ac:dyDescent="0.3">
      <c r="A96" s="12">
        <v>20.980000000000018</v>
      </c>
      <c r="B96" s="12" t="s">
        <v>27</v>
      </c>
      <c r="C96" s="12">
        <v>42.9</v>
      </c>
      <c r="D96" s="10">
        <v>304.13</v>
      </c>
      <c r="E96" s="10">
        <v>7474.89</v>
      </c>
      <c r="F96" s="7">
        <v>0.31</v>
      </c>
      <c r="G96" s="6">
        <v>10.17</v>
      </c>
      <c r="H96" s="6">
        <v>900</v>
      </c>
      <c r="I96" s="6">
        <v>11.2</v>
      </c>
      <c r="J96" s="6">
        <v>700</v>
      </c>
    </row>
    <row r="97" spans="1:11" x14ac:dyDescent="0.3">
      <c r="A97" s="6">
        <f>D97-273.15-10</f>
        <v>13.650000000000034</v>
      </c>
      <c r="B97" s="6" t="s">
        <v>38</v>
      </c>
      <c r="C97" s="7">
        <v>42.56</v>
      </c>
      <c r="D97" s="4">
        <v>296.8</v>
      </c>
      <c r="E97" s="4">
        <v>8989.09</v>
      </c>
      <c r="F97" s="4">
        <v>0.27</v>
      </c>
      <c r="G97" s="6">
        <f>446.19-435.11</f>
        <v>11.079999999999984</v>
      </c>
      <c r="H97" s="6">
        <v>1100</v>
      </c>
      <c r="I97" s="6">
        <f>353.51-342.13</f>
        <v>11.379999999999995</v>
      </c>
      <c r="J97" s="6">
        <v>800</v>
      </c>
    </row>
    <row r="98" spans="1:11" x14ac:dyDescent="0.3">
      <c r="A98" s="6">
        <f t="shared" ref="A98:A99" si="14">D98-273.15-10</f>
        <v>4.1500000000000341</v>
      </c>
      <c r="B98" s="6" t="s">
        <v>39</v>
      </c>
      <c r="C98" s="7">
        <v>43.85</v>
      </c>
      <c r="D98" s="4">
        <v>287.3</v>
      </c>
      <c r="E98" s="4">
        <v>10224.86</v>
      </c>
      <c r="F98" s="4">
        <v>0.25</v>
      </c>
      <c r="G98" s="15">
        <f>426.22-416.24</f>
        <v>9.9800000000000182</v>
      </c>
      <c r="H98" s="4">
        <v>1350</v>
      </c>
      <c r="I98" s="6">
        <f>338.66-328.74</f>
        <v>9.9200000000000159</v>
      </c>
      <c r="J98" s="4">
        <v>1100</v>
      </c>
    </row>
    <row r="99" spans="1:11" x14ac:dyDescent="0.3">
      <c r="A99" s="6">
        <f t="shared" si="14"/>
        <v>-6.7199999999999704</v>
      </c>
      <c r="B99" s="13" t="s">
        <v>41</v>
      </c>
      <c r="C99" s="14">
        <v>44.62</v>
      </c>
      <c r="D99" s="14">
        <v>276.43</v>
      </c>
      <c r="E99" s="14">
        <v>11540.39</v>
      </c>
      <c r="F99" s="14">
        <v>0.23</v>
      </c>
      <c r="G99" s="8">
        <f>323.7-312.78</f>
        <v>10.920000000000016</v>
      </c>
      <c r="H99" s="14">
        <v>1500</v>
      </c>
      <c r="I99" s="8">
        <f>407.36-396.33</f>
        <v>11.03000000000003</v>
      </c>
      <c r="J99" s="14">
        <v>1300</v>
      </c>
    </row>
    <row r="100" spans="1:11" x14ac:dyDescent="0.3">
      <c r="A100" s="6">
        <f>D100-273.15-10</f>
        <v>-21.839999999999975</v>
      </c>
      <c r="B100" s="6" t="s">
        <v>40</v>
      </c>
      <c r="C100" s="6">
        <v>47.08</v>
      </c>
      <c r="D100" s="6">
        <v>261.31</v>
      </c>
      <c r="E100" s="6">
        <v>12942.12</v>
      </c>
      <c r="F100" s="6">
        <v>0.19</v>
      </c>
      <c r="G100" s="6">
        <f>379.07-368.81</f>
        <v>10.259999999999991</v>
      </c>
      <c r="H100" s="6">
        <v>1800</v>
      </c>
      <c r="I100" s="6">
        <f>298.37-287.78</f>
        <v>10.590000000000032</v>
      </c>
      <c r="J100" s="6">
        <v>2500</v>
      </c>
    </row>
    <row r="101" spans="1:11" x14ac:dyDescent="0.3">
      <c r="A101" s="6">
        <f t="shared" ref="A101:A103" si="15">D101-273.15-10</f>
        <v>-43.919999999999987</v>
      </c>
      <c r="B101" s="8" t="s">
        <v>98</v>
      </c>
      <c r="C101" s="14"/>
      <c r="D101" s="6">
        <v>239.23</v>
      </c>
      <c r="E101" s="6">
        <v>14718.17</v>
      </c>
      <c r="F101" s="14"/>
      <c r="G101" s="8"/>
      <c r="H101" s="14"/>
      <c r="I101" s="8"/>
      <c r="J101" s="14"/>
    </row>
    <row r="102" spans="1:11" x14ac:dyDescent="0.3">
      <c r="A102" s="6">
        <f t="shared" si="15"/>
        <v>-65.489999999999981</v>
      </c>
      <c r="B102" s="8" t="s">
        <v>99</v>
      </c>
      <c r="C102" s="14"/>
      <c r="D102" s="6">
        <v>217.66</v>
      </c>
      <c r="E102" s="6">
        <v>24497</v>
      </c>
      <c r="F102" s="14"/>
      <c r="G102" s="8"/>
      <c r="H102" s="14"/>
      <c r="I102" s="8"/>
      <c r="J102" s="14"/>
    </row>
    <row r="103" spans="1:11" x14ac:dyDescent="0.3">
      <c r="A103" s="6">
        <f t="shared" si="15"/>
        <v>-85.339999999999975</v>
      </c>
      <c r="B103" s="8" t="s">
        <v>100</v>
      </c>
      <c r="C103" s="14"/>
      <c r="D103" s="6">
        <v>197.81</v>
      </c>
      <c r="E103" s="6">
        <v>37613</v>
      </c>
      <c r="F103" s="14"/>
      <c r="G103" s="8"/>
      <c r="H103" s="14"/>
      <c r="I103" s="8"/>
      <c r="J103" s="14"/>
    </row>
    <row r="104" spans="1:11" x14ac:dyDescent="0.3">
      <c r="A104" s="6">
        <f>D104-273.15-10</f>
        <v>-99.549999999999983</v>
      </c>
      <c r="B104" s="8" t="s">
        <v>101</v>
      </c>
      <c r="C104" s="14"/>
      <c r="D104" s="6">
        <v>183.6</v>
      </c>
      <c r="E104" s="6">
        <v>15716</v>
      </c>
      <c r="F104" s="14"/>
      <c r="G104" s="8"/>
      <c r="H104" s="14"/>
      <c r="I104" s="8"/>
      <c r="J104" s="14"/>
    </row>
    <row r="105" spans="1:11" x14ac:dyDescent="0.3">
      <c r="A105" s="6">
        <f>D105-273.15-10</f>
        <v>-117.11999999999998</v>
      </c>
      <c r="B105" s="8" t="s">
        <v>88</v>
      </c>
      <c r="C105" s="14">
        <v>56.56</v>
      </c>
      <c r="D105" s="14">
        <v>166.03</v>
      </c>
      <c r="E105" s="14">
        <v>5314.43</v>
      </c>
      <c r="F105" s="14">
        <v>0.2</v>
      </c>
      <c r="G105" s="8">
        <f>460.15-450.18</f>
        <v>9.9699999999999704</v>
      </c>
      <c r="H105" s="14">
        <v>200</v>
      </c>
      <c r="I105" s="8">
        <f>260.64-250.88</f>
        <v>9.7599999999999909</v>
      </c>
      <c r="J105" s="14">
        <v>500</v>
      </c>
    </row>
    <row r="106" spans="1:11" ht="15" thickBot="1" x14ac:dyDescent="0.35">
      <c r="A106" s="30">
        <f>D106-273.15-10</f>
        <v>-135.27999999999997</v>
      </c>
      <c r="B106" s="30" t="s">
        <v>89</v>
      </c>
      <c r="C106" s="28">
        <v>62.87</v>
      </c>
      <c r="D106" s="28">
        <v>147.87</v>
      </c>
      <c r="E106" s="28">
        <v>4756.8599999999997</v>
      </c>
      <c r="F106" s="28">
        <v>0.2</v>
      </c>
      <c r="G106" s="30"/>
      <c r="H106" s="28">
        <v>275</v>
      </c>
      <c r="I106" s="30"/>
      <c r="J106" s="28">
        <v>250</v>
      </c>
    </row>
    <row r="107" spans="1:11" ht="15.6" thickTop="1" thickBot="1" x14ac:dyDescent="0.35">
      <c r="A107" s="56">
        <f>D107-273.15</f>
        <v>-122.46299999999997</v>
      </c>
      <c r="B107" s="11" t="s">
        <v>84</v>
      </c>
      <c r="C107" s="51">
        <v>62.01</v>
      </c>
      <c r="D107" s="57">
        <f>150.687</f>
        <v>150.68700000000001</v>
      </c>
      <c r="E107" s="58">
        <v>5063</v>
      </c>
      <c r="F107" s="51">
        <v>0.2</v>
      </c>
      <c r="G107" s="51">
        <f>304.16-294.31</f>
        <v>9.8500000000000227</v>
      </c>
      <c r="H107" s="51">
        <v>275</v>
      </c>
      <c r="I107" s="51">
        <f>304.16-294.31</f>
        <v>9.8500000000000227</v>
      </c>
      <c r="J107" s="51">
        <v>225</v>
      </c>
    </row>
    <row r="108" spans="1:11" ht="15.6" thickTop="1" thickBot="1" x14ac:dyDescent="0.35"/>
    <row r="109" spans="1:11" ht="42.6" thickTop="1" thickBot="1" x14ac:dyDescent="0.35">
      <c r="A109" s="11" t="s">
        <v>33</v>
      </c>
      <c r="B109" s="11" t="s">
        <v>15</v>
      </c>
      <c r="C109" s="11" t="s">
        <v>22</v>
      </c>
      <c r="D109" s="11" t="s">
        <v>17</v>
      </c>
      <c r="E109" s="11" t="s">
        <v>16</v>
      </c>
      <c r="F109" s="11" t="s">
        <v>28</v>
      </c>
      <c r="G109" s="11" t="s">
        <v>20</v>
      </c>
      <c r="H109" s="11" t="s">
        <v>29</v>
      </c>
      <c r="I109" s="11" t="s">
        <v>21</v>
      </c>
      <c r="J109" s="11" t="s">
        <v>30</v>
      </c>
      <c r="K109" s="27"/>
    </row>
    <row r="110" spans="1:11" ht="15" thickTop="1" x14ac:dyDescent="0.3">
      <c r="A110" s="42">
        <v>20.980000000000018</v>
      </c>
      <c r="B110" s="42" t="s">
        <v>27</v>
      </c>
      <c r="C110" s="42">
        <v>42.9</v>
      </c>
      <c r="D110" s="35">
        <v>304.13</v>
      </c>
      <c r="E110" s="35">
        <v>7474.89</v>
      </c>
      <c r="F110" s="31">
        <v>0.31</v>
      </c>
      <c r="G110" s="8">
        <v>10.17</v>
      </c>
      <c r="H110" s="8">
        <v>900</v>
      </c>
      <c r="I110" s="8">
        <v>11.2</v>
      </c>
      <c r="J110" s="8">
        <v>700</v>
      </c>
    </row>
    <row r="111" spans="1:11" x14ac:dyDescent="0.3">
      <c r="A111" s="8">
        <f>D111-273.15-10</f>
        <v>19.210000000000036</v>
      </c>
      <c r="B111" s="8" t="s">
        <v>43</v>
      </c>
      <c r="C111" s="31">
        <v>41.47</v>
      </c>
      <c r="D111" s="14">
        <v>302.36</v>
      </c>
      <c r="E111" s="14">
        <v>10283.48</v>
      </c>
      <c r="F111" s="14">
        <v>0.25</v>
      </c>
      <c r="G111" s="8">
        <f>437.55-427.65</f>
        <v>9.9000000000000341</v>
      </c>
      <c r="H111" s="8">
        <v>1500</v>
      </c>
      <c r="I111" s="8">
        <f>358.54-348.11</f>
        <v>10.430000000000007</v>
      </c>
      <c r="J111" s="8">
        <v>900</v>
      </c>
    </row>
    <row r="112" spans="1:11" x14ac:dyDescent="0.3">
      <c r="A112" s="8">
        <f t="shared" ref="A112" si="16">D112-273.15-10</f>
        <v>16.990000000000009</v>
      </c>
      <c r="B112" s="8" t="s">
        <v>44</v>
      </c>
      <c r="C112" s="31">
        <v>39.81</v>
      </c>
      <c r="D112" s="14">
        <v>300.14</v>
      </c>
      <c r="E112" s="40">
        <v>13723.48</v>
      </c>
      <c r="F112" s="14">
        <v>0.17</v>
      </c>
      <c r="G112" s="43">
        <f>346.56-336.31</f>
        <v>10.25</v>
      </c>
      <c r="H112" s="14">
        <v>2500</v>
      </c>
      <c r="I112" s="8">
        <f>396.44-386.09</f>
        <v>10.350000000000023</v>
      </c>
      <c r="J112" s="14">
        <v>1000</v>
      </c>
    </row>
    <row r="113" spans="1:11" x14ac:dyDescent="0.3">
      <c r="A113" s="8"/>
      <c r="B113" s="8" t="s">
        <v>65</v>
      </c>
      <c r="C113" s="14"/>
      <c r="D113" s="14"/>
      <c r="E113" s="14"/>
      <c r="F113" s="14"/>
      <c r="G113" s="8"/>
      <c r="H113" s="14"/>
      <c r="I113" s="8"/>
      <c r="J113" s="14"/>
    </row>
    <row r="114" spans="1:11" x14ac:dyDescent="0.3">
      <c r="A114" s="8"/>
      <c r="B114" s="8" t="s">
        <v>66</v>
      </c>
      <c r="C114" s="14"/>
      <c r="D114" s="14"/>
      <c r="E114" s="14"/>
      <c r="F114" s="14"/>
      <c r="G114" s="8"/>
      <c r="H114" s="14"/>
      <c r="I114" s="8"/>
      <c r="J114" s="14"/>
    </row>
    <row r="115" spans="1:11" x14ac:dyDescent="0.3">
      <c r="A115" s="8"/>
      <c r="B115" s="8" t="s">
        <v>106</v>
      </c>
      <c r="C115" s="14"/>
      <c r="D115" s="14"/>
      <c r="E115" s="14"/>
      <c r="F115" s="14"/>
      <c r="G115" s="8"/>
      <c r="H115" s="14"/>
      <c r="I115" s="8"/>
      <c r="J115" s="14"/>
    </row>
    <row r="116" spans="1:11" x14ac:dyDescent="0.3">
      <c r="A116" s="8"/>
      <c r="B116" s="8" t="s">
        <v>105</v>
      </c>
      <c r="C116" s="14"/>
      <c r="D116" s="14"/>
      <c r="E116" s="14"/>
      <c r="F116" s="14"/>
      <c r="G116" s="8"/>
      <c r="H116" s="14"/>
      <c r="I116" s="8"/>
      <c r="J116" s="14"/>
    </row>
    <row r="117" spans="1:11" x14ac:dyDescent="0.3">
      <c r="A117" s="8"/>
      <c r="B117" s="8" t="s">
        <v>104</v>
      </c>
      <c r="C117" s="14"/>
      <c r="D117" s="14"/>
      <c r="E117" s="14"/>
      <c r="F117" s="14"/>
      <c r="G117" s="8"/>
      <c r="H117" s="14"/>
      <c r="I117" s="8"/>
      <c r="J117" s="14"/>
    </row>
    <row r="118" spans="1:11" x14ac:dyDescent="0.3">
      <c r="A118" s="8"/>
      <c r="B118" s="8" t="s">
        <v>103</v>
      </c>
      <c r="C118" s="14"/>
      <c r="D118" s="14"/>
      <c r="E118" s="14"/>
      <c r="F118" s="14"/>
      <c r="G118" s="8"/>
      <c r="H118" s="14"/>
      <c r="I118" s="8"/>
      <c r="J118" s="14"/>
    </row>
    <row r="119" spans="1:11" ht="15" thickBot="1" x14ac:dyDescent="0.35">
      <c r="A119" s="8"/>
      <c r="B119" s="8" t="s">
        <v>102</v>
      </c>
      <c r="C119" s="14"/>
      <c r="D119" s="14"/>
      <c r="E119" s="14"/>
      <c r="F119" s="14"/>
      <c r="G119" s="8"/>
      <c r="H119" s="14"/>
      <c r="I119" s="8"/>
      <c r="J119" s="14"/>
    </row>
    <row r="120" spans="1:11" ht="15.6" thickTop="1" thickBot="1" x14ac:dyDescent="0.35">
      <c r="A120" s="54"/>
      <c r="B120" s="11" t="s">
        <v>87</v>
      </c>
      <c r="C120" s="54"/>
      <c r="D120" s="54"/>
      <c r="E120" s="54"/>
      <c r="F120" s="54"/>
      <c r="G120" s="54"/>
      <c r="H120" s="54"/>
      <c r="I120" s="54"/>
      <c r="J120" s="54"/>
    </row>
    <row r="121" spans="1:11" ht="15.6" thickTop="1" thickBot="1" x14ac:dyDescent="0.35">
      <c r="A121" s="6"/>
      <c r="B121" s="6"/>
      <c r="C121" s="6"/>
      <c r="D121" s="6"/>
      <c r="E121" s="6"/>
      <c r="F121" s="4"/>
      <c r="G121" s="6"/>
      <c r="H121" s="6"/>
      <c r="I121" s="6"/>
      <c r="J121" s="6"/>
    </row>
    <row r="122" spans="1:11" ht="42.6" thickTop="1" thickBot="1" x14ac:dyDescent="0.35">
      <c r="A122" s="11" t="s">
        <v>33</v>
      </c>
      <c r="B122" s="11" t="s">
        <v>15</v>
      </c>
      <c r="C122" s="11" t="s">
        <v>22</v>
      </c>
      <c r="D122" s="11" t="s">
        <v>17</v>
      </c>
      <c r="E122" s="11" t="s">
        <v>16</v>
      </c>
      <c r="F122" s="11" t="s">
        <v>28</v>
      </c>
      <c r="G122" s="11" t="s">
        <v>20</v>
      </c>
      <c r="H122" s="11" t="s">
        <v>29</v>
      </c>
      <c r="I122" s="11" t="s">
        <v>21</v>
      </c>
      <c r="J122" s="11" t="s">
        <v>30</v>
      </c>
      <c r="K122" s="27"/>
    </row>
    <row r="123" spans="1:11" ht="15" thickTop="1" x14ac:dyDescent="0.3">
      <c r="A123" s="12">
        <v>20.980000000000018</v>
      </c>
      <c r="B123" s="12" t="s">
        <v>27</v>
      </c>
      <c r="C123" s="12">
        <v>42.9</v>
      </c>
      <c r="D123" s="10">
        <v>304.13</v>
      </c>
      <c r="E123" s="10">
        <v>7474.89</v>
      </c>
      <c r="F123" s="7">
        <v>0.31</v>
      </c>
      <c r="G123" s="6">
        <v>10.17</v>
      </c>
      <c r="H123" s="6">
        <v>900</v>
      </c>
      <c r="I123" s="6">
        <v>11.2</v>
      </c>
      <c r="J123" s="6">
        <v>700</v>
      </c>
    </row>
    <row r="124" spans="1:11" x14ac:dyDescent="0.3">
      <c r="A124" s="6">
        <f>D124-273.15-10</f>
        <v>15.260000000000048</v>
      </c>
      <c r="B124" s="6" t="s">
        <v>61</v>
      </c>
      <c r="C124" s="7">
        <v>43.55</v>
      </c>
      <c r="D124" s="4">
        <v>298.41000000000003</v>
      </c>
      <c r="E124" s="4">
        <v>7977.87</v>
      </c>
      <c r="F124" s="4">
        <v>0.25</v>
      </c>
      <c r="G124" s="6">
        <f>459.89-449.78</f>
        <v>10.110000000000014</v>
      </c>
      <c r="H124" s="6">
        <v>850</v>
      </c>
      <c r="I124" s="6">
        <f>362.57-352.21</f>
        <v>10.360000000000014</v>
      </c>
      <c r="J124" s="6">
        <v>650</v>
      </c>
    </row>
    <row r="125" spans="1:11" x14ac:dyDescent="0.3">
      <c r="A125" s="6">
        <f t="shared" ref="A125:A126" si="17">D125-273.15-10</f>
        <v>9.5100000000000477</v>
      </c>
      <c r="B125" s="6" t="s">
        <v>62</v>
      </c>
      <c r="C125" s="7">
        <v>43.7</v>
      </c>
      <c r="D125" s="4">
        <v>292.66000000000003</v>
      </c>
      <c r="E125" s="4">
        <v>7168.4</v>
      </c>
      <c r="F125" s="4">
        <v>0.25</v>
      </c>
      <c r="G125" s="15">
        <f>438.79-428.63</f>
        <v>10.160000000000025</v>
      </c>
      <c r="H125" s="4">
        <v>725</v>
      </c>
      <c r="I125" s="6">
        <f>345.34-335.79</f>
        <v>9.5499999999999545</v>
      </c>
      <c r="J125" s="4">
        <v>600</v>
      </c>
    </row>
    <row r="126" spans="1:11" x14ac:dyDescent="0.3">
      <c r="A126" s="6">
        <f t="shared" si="17"/>
        <v>4.6000000000000227</v>
      </c>
      <c r="B126" s="6" t="s">
        <v>63</v>
      </c>
      <c r="C126" s="7">
        <v>44.71</v>
      </c>
      <c r="D126" s="4">
        <v>287.75</v>
      </c>
      <c r="E126" s="4">
        <v>6816.4</v>
      </c>
      <c r="F126" s="4">
        <v>0.28000000000000003</v>
      </c>
      <c r="G126" s="15">
        <f>463.55-453.27</f>
        <v>10.28000000000003</v>
      </c>
      <c r="H126" s="4">
        <v>650</v>
      </c>
      <c r="I126" s="6">
        <f>342.49-332.58</f>
        <v>9.910000000000025</v>
      </c>
      <c r="J126" s="4">
        <v>700</v>
      </c>
    </row>
    <row r="127" spans="1:11" x14ac:dyDescent="0.3">
      <c r="A127" s="6">
        <f t="shared" ref="A127:A133" si="18">D127-273.15-10</f>
        <v>1</v>
      </c>
      <c r="B127" s="6" t="s">
        <v>64</v>
      </c>
      <c r="C127" s="6">
        <v>44.99</v>
      </c>
      <c r="D127" s="6">
        <v>284.14999999999998</v>
      </c>
      <c r="E127" s="6">
        <v>6513.52</v>
      </c>
      <c r="F127" s="6">
        <v>0.28000000000000003</v>
      </c>
      <c r="G127" s="6">
        <f>474.33-463.88</f>
        <v>10.449999999999989</v>
      </c>
      <c r="H127" s="6">
        <v>550</v>
      </c>
      <c r="I127" s="6">
        <f>340.37-330.65</f>
        <v>9.7200000000000273</v>
      </c>
      <c r="J127" s="6">
        <v>700</v>
      </c>
    </row>
    <row r="128" spans="1:11" x14ac:dyDescent="0.3">
      <c r="A128" s="6">
        <f t="shared" si="18"/>
        <v>-0.97999999999996135</v>
      </c>
      <c r="B128" s="6" t="s">
        <v>107</v>
      </c>
      <c r="C128" s="7">
        <v>44.17</v>
      </c>
      <c r="D128" s="4">
        <v>282.17</v>
      </c>
      <c r="E128" s="4">
        <v>6313.89</v>
      </c>
      <c r="F128" s="4">
        <v>0.25</v>
      </c>
      <c r="G128" s="15">
        <f>456.09-446.98</f>
        <v>9.1099999999999568</v>
      </c>
      <c r="H128" s="4">
        <v>500</v>
      </c>
      <c r="I128" s="6">
        <f>342-331</f>
        <v>11</v>
      </c>
      <c r="J128" s="4">
        <v>500</v>
      </c>
    </row>
    <row r="129" spans="1:10" x14ac:dyDescent="0.3">
      <c r="A129" s="6">
        <f t="shared" si="18"/>
        <v>-1.3299999999999841</v>
      </c>
      <c r="B129" s="6" t="s">
        <v>108</v>
      </c>
      <c r="C129" s="7">
        <v>43.71</v>
      </c>
      <c r="D129" s="4">
        <v>281.82</v>
      </c>
      <c r="E129" s="4">
        <v>6216.14</v>
      </c>
      <c r="F129" s="4">
        <v>0.25</v>
      </c>
      <c r="G129" s="15">
        <f>471.28-461.97</f>
        <v>9.3099999999999454</v>
      </c>
      <c r="H129" s="4">
        <v>425</v>
      </c>
      <c r="I129" s="6">
        <f>344.59-333.88</f>
        <v>10.70999999999998</v>
      </c>
      <c r="J129" s="4">
        <v>525</v>
      </c>
    </row>
    <row r="130" spans="1:10" x14ac:dyDescent="0.3">
      <c r="A130" s="60"/>
      <c r="B130" s="60"/>
      <c r="C130" s="61"/>
      <c r="D130" s="62"/>
      <c r="E130" s="62"/>
      <c r="F130" s="62"/>
      <c r="G130" s="63"/>
      <c r="H130" s="62"/>
      <c r="I130" s="60"/>
      <c r="J130" s="62"/>
    </row>
    <row r="131" spans="1:10" x14ac:dyDescent="0.3">
      <c r="A131" s="60">
        <f t="shared" si="18"/>
        <v>-29.47999999999999</v>
      </c>
      <c r="B131" s="60" t="s">
        <v>128</v>
      </c>
      <c r="C131" s="61">
        <v>49</v>
      </c>
      <c r="D131" s="62">
        <v>253.67</v>
      </c>
      <c r="E131" s="62">
        <v>11873.77</v>
      </c>
      <c r="F131" s="62">
        <v>0.2</v>
      </c>
      <c r="G131" s="63">
        <f>386.4-376.25</f>
        <v>10.149999999999977</v>
      </c>
      <c r="H131" s="62">
        <v>1350</v>
      </c>
      <c r="I131" s="60">
        <f>293.16-283.44</f>
        <v>9.7200000000000273</v>
      </c>
      <c r="J131" s="62">
        <v>2700</v>
      </c>
    </row>
    <row r="132" spans="1:10" x14ac:dyDescent="0.3">
      <c r="A132" s="60">
        <f t="shared" si="18"/>
        <v>-37.059999999999974</v>
      </c>
      <c r="B132" s="60" t="s">
        <v>130</v>
      </c>
      <c r="C132" s="61">
        <v>50.06</v>
      </c>
      <c r="D132" s="62">
        <v>246.09</v>
      </c>
      <c r="E132" s="62">
        <v>9922.52</v>
      </c>
      <c r="F132" s="62">
        <v>0.28000000000000003</v>
      </c>
      <c r="G132" s="63">
        <f>436.76-426.49</f>
        <v>10.269999999999982</v>
      </c>
      <c r="H132" s="62">
        <v>1000</v>
      </c>
      <c r="I132" s="60">
        <f>301.22-290.49</f>
        <v>10.730000000000018</v>
      </c>
      <c r="J132" s="62">
        <v>2000</v>
      </c>
    </row>
    <row r="133" spans="1:10" x14ac:dyDescent="0.3">
      <c r="A133" s="64">
        <f t="shared" si="18"/>
        <v>-45.099999999999966</v>
      </c>
      <c r="B133" s="64" t="s">
        <v>129</v>
      </c>
      <c r="C133" s="65">
        <v>51.44</v>
      </c>
      <c r="D133" s="66">
        <v>238.05</v>
      </c>
      <c r="E133" s="66">
        <v>11059.82</v>
      </c>
      <c r="F133" s="66">
        <v>0.24</v>
      </c>
      <c r="G133" s="67">
        <f>390.24-379.55</f>
        <v>10.689999999999998</v>
      </c>
      <c r="H133" s="68">
        <v>1100</v>
      </c>
      <c r="I133" s="64">
        <f>281.25-271.03</f>
        <v>10.220000000000027</v>
      </c>
      <c r="J133" s="68">
        <v>2400</v>
      </c>
    </row>
    <row r="134" spans="1:10" x14ac:dyDescent="0.3">
      <c r="A134" s="60"/>
      <c r="B134" s="60"/>
      <c r="C134" s="61"/>
      <c r="D134" s="62"/>
      <c r="E134" s="62"/>
      <c r="F134" s="62"/>
      <c r="G134" s="63"/>
      <c r="H134" s="62"/>
      <c r="I134" s="60"/>
      <c r="J134" s="62"/>
    </row>
    <row r="135" spans="1:10" x14ac:dyDescent="0.3">
      <c r="A135" s="6"/>
      <c r="B135" s="6" t="s">
        <v>109</v>
      </c>
      <c r="C135" s="7"/>
      <c r="D135" s="4"/>
      <c r="E135" s="4"/>
      <c r="F135" s="4"/>
      <c r="G135" s="15"/>
      <c r="H135" s="4"/>
      <c r="I135" s="6"/>
      <c r="J135" s="4"/>
    </row>
    <row r="136" spans="1:10" x14ac:dyDescent="0.3">
      <c r="A136" s="6"/>
      <c r="B136" s="6" t="s">
        <v>110</v>
      </c>
      <c r="C136" s="7"/>
      <c r="D136" s="4"/>
      <c r="E136" s="4"/>
      <c r="F136" s="4"/>
      <c r="G136" s="15"/>
      <c r="H136" s="4"/>
      <c r="I136" s="6"/>
      <c r="J136" s="4"/>
    </row>
    <row r="137" spans="1:10" ht="15" thickBot="1" x14ac:dyDescent="0.35">
      <c r="A137" s="6"/>
      <c r="B137" s="6" t="s">
        <v>111</v>
      </c>
      <c r="C137" s="7"/>
      <c r="D137" s="4"/>
      <c r="E137" s="4"/>
      <c r="F137" s="4"/>
      <c r="G137" s="15"/>
      <c r="H137" s="4"/>
      <c r="I137" s="6"/>
      <c r="J137" s="4"/>
    </row>
    <row r="138" spans="1:10" ht="15.6" thickTop="1" thickBot="1" x14ac:dyDescent="0.35">
      <c r="A138" s="51"/>
      <c r="B138" s="52" t="s">
        <v>86</v>
      </c>
      <c r="C138" s="51"/>
      <c r="D138" s="51"/>
      <c r="E138" s="51"/>
      <c r="F138" s="51"/>
      <c r="G138" s="51"/>
      <c r="H138" s="51"/>
      <c r="I138" s="51"/>
      <c r="J138" s="51"/>
    </row>
    <row r="139" spans="1:10" ht="15" thickTop="1" x14ac:dyDescent="0.3"/>
  </sheetData>
  <phoneticPr fontId="6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B7B5F6-B70E-43D8-8F33-D52D08191C53}">
  <sheetPr codeName="Hoja17"/>
  <dimension ref="A1"/>
  <sheetViews>
    <sheetView workbookViewId="0">
      <selection activeCell="A4" sqref="A4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562C0B-FC4F-4B52-9910-8FDAF9C1BDD9}">
  <sheetPr codeName="Hoja18"/>
  <dimension ref="A1:V16"/>
  <sheetViews>
    <sheetView topLeftCell="R61" workbookViewId="0">
      <selection activeCell="W58" sqref="W58"/>
    </sheetView>
  </sheetViews>
  <sheetFormatPr baseColWidth="10" defaultRowHeight="14.4" x14ac:dyDescent="0.3"/>
  <cols>
    <col min="19" max="19" width="5.77734375" customWidth="1"/>
    <col min="22" max="22" width="4.5546875" customWidth="1"/>
  </cols>
  <sheetData>
    <row r="1" spans="1:22" ht="100.8" customHeight="1" x14ac:dyDescent="0.3">
      <c r="A1" s="139" t="s">
        <v>3</v>
      </c>
      <c r="B1" s="140"/>
      <c r="C1" s="140"/>
      <c r="D1" s="140"/>
      <c r="E1" s="140"/>
      <c r="F1" s="140"/>
      <c r="G1" s="140"/>
      <c r="H1" s="140"/>
      <c r="I1" s="140"/>
      <c r="J1" s="140"/>
      <c r="K1" s="140"/>
    </row>
    <row r="3" spans="1:22" ht="35.4" customHeight="1" x14ac:dyDescent="0.35">
      <c r="A3" s="137" t="s">
        <v>2</v>
      </c>
      <c r="B3" s="138"/>
      <c r="C3" s="138"/>
      <c r="D3" s="138"/>
      <c r="E3" s="138"/>
      <c r="F3" s="138"/>
      <c r="G3" s="138"/>
      <c r="H3" s="138"/>
      <c r="I3" s="138"/>
      <c r="J3" s="138"/>
      <c r="K3" s="138"/>
    </row>
    <row r="4" spans="1:22" x14ac:dyDescent="0.3">
      <c r="T4" s="2" t="s">
        <v>13</v>
      </c>
      <c r="U4" s="2">
        <v>25000</v>
      </c>
      <c r="V4" t="s">
        <v>1</v>
      </c>
    </row>
    <row r="5" spans="1:22" ht="21" x14ac:dyDescent="0.4">
      <c r="B5" s="1"/>
      <c r="T5" s="2" t="s">
        <v>4</v>
      </c>
      <c r="U5" s="2">
        <f>449.3+273.15</f>
        <v>722.45</v>
      </c>
      <c r="V5" t="s">
        <v>0</v>
      </c>
    </row>
    <row r="6" spans="1:22" x14ac:dyDescent="0.3">
      <c r="T6" t="s">
        <v>5</v>
      </c>
      <c r="U6">
        <f>329.7+273.15</f>
        <v>602.84999999999991</v>
      </c>
      <c r="V6" t="s">
        <v>0</v>
      </c>
    </row>
    <row r="7" spans="1:22" x14ac:dyDescent="0.3">
      <c r="T7" s="2" t="s">
        <v>6</v>
      </c>
      <c r="U7" s="2">
        <v>0.9</v>
      </c>
    </row>
    <row r="9" spans="1:22" x14ac:dyDescent="0.3">
      <c r="T9" s="2" t="s">
        <v>14</v>
      </c>
      <c r="U9" s="2">
        <v>8470</v>
      </c>
      <c r="V9" s="3" t="s">
        <v>1</v>
      </c>
    </row>
    <row r="10" spans="1:22" x14ac:dyDescent="0.3">
      <c r="T10" s="2" t="s">
        <v>7</v>
      </c>
      <c r="U10" s="2">
        <f>32.9+273.15</f>
        <v>306.04999999999995</v>
      </c>
      <c r="V10" t="s">
        <v>0</v>
      </c>
    </row>
    <row r="11" spans="1:22" x14ac:dyDescent="0.3">
      <c r="T11" t="s">
        <v>11</v>
      </c>
      <c r="U11">
        <f>64+273.15</f>
        <v>337.15</v>
      </c>
      <c r="V11" t="s">
        <v>0</v>
      </c>
    </row>
    <row r="12" spans="1:22" x14ac:dyDescent="0.3">
      <c r="T12" s="2" t="s">
        <v>12</v>
      </c>
      <c r="U12" s="2">
        <v>0.75</v>
      </c>
    </row>
    <row r="14" spans="1:22" x14ac:dyDescent="0.3">
      <c r="T14" t="s">
        <v>8</v>
      </c>
      <c r="U14">
        <f>83.2+273.15</f>
        <v>356.34999999999997</v>
      </c>
      <c r="V14" t="s">
        <v>0</v>
      </c>
    </row>
    <row r="15" spans="1:22" x14ac:dyDescent="0.3">
      <c r="T15" t="s">
        <v>9</v>
      </c>
      <c r="U15">
        <f>195.9+273.15</f>
        <v>469.04999999999995</v>
      </c>
      <c r="V15" t="s">
        <v>0</v>
      </c>
    </row>
    <row r="16" spans="1:22" x14ac:dyDescent="0.3">
      <c r="T16" s="2" t="s">
        <v>10</v>
      </c>
      <c r="U16" s="2">
        <v>0.75</v>
      </c>
    </row>
  </sheetData>
  <mergeCells count="2">
    <mergeCell ref="A3:K3"/>
    <mergeCell ref="A1:K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91FF59-B067-48C3-8ED9-2D386C82641C}">
  <dimension ref="A1:L447"/>
  <sheetViews>
    <sheetView tabSelected="1" topLeftCell="A421" zoomScaleNormal="100" workbookViewId="0">
      <selection activeCell="M439" sqref="M439"/>
    </sheetView>
  </sheetViews>
  <sheetFormatPr baseColWidth="10" defaultRowHeight="14.4" x14ac:dyDescent="0.3"/>
  <cols>
    <col min="1" max="1" width="11.88671875" customWidth="1"/>
    <col min="2" max="2" width="30.88671875" customWidth="1"/>
    <col min="3" max="3" width="9.77734375" customWidth="1"/>
    <col min="4" max="4" width="9.109375" customWidth="1"/>
    <col min="5" max="5" width="9.33203125" customWidth="1"/>
    <col min="6" max="6" width="8.88671875" customWidth="1"/>
    <col min="7" max="7" width="9.33203125" customWidth="1"/>
    <col min="8" max="8" width="7.77734375" customWidth="1"/>
    <col min="9" max="9" width="9.21875" customWidth="1"/>
    <col min="10" max="10" width="7.6640625" customWidth="1"/>
    <col min="11" max="11" width="4.21875" customWidth="1"/>
    <col min="12" max="12" width="7.44140625" customWidth="1"/>
  </cols>
  <sheetData>
    <row r="1" spans="1:12" ht="15.6" customHeight="1" thickTop="1" thickBot="1" x14ac:dyDescent="0.35">
      <c r="A1" s="135" t="s">
        <v>199</v>
      </c>
      <c r="B1" s="136"/>
      <c r="C1" s="136"/>
      <c r="D1" s="136"/>
      <c r="E1" s="136"/>
      <c r="F1" s="136"/>
      <c r="G1" s="136"/>
      <c r="H1" s="136"/>
      <c r="I1" s="136"/>
      <c r="J1" s="136"/>
    </row>
    <row r="2" spans="1:12" ht="42.6" thickTop="1" thickBot="1" x14ac:dyDescent="0.35">
      <c r="A2" s="77" t="s">
        <v>33</v>
      </c>
      <c r="B2" s="77" t="s">
        <v>15</v>
      </c>
      <c r="C2" s="77" t="s">
        <v>22</v>
      </c>
      <c r="D2" s="77" t="s">
        <v>17</v>
      </c>
      <c r="E2" s="77" t="s">
        <v>16</v>
      </c>
      <c r="F2" s="77" t="s">
        <v>28</v>
      </c>
      <c r="G2" s="77" t="s">
        <v>20</v>
      </c>
      <c r="H2" s="77" t="s">
        <v>29</v>
      </c>
      <c r="I2" s="77" t="s">
        <v>21</v>
      </c>
      <c r="J2" s="77" t="s">
        <v>30</v>
      </c>
    </row>
    <row r="3" spans="1:12" s="3" customFormat="1" ht="15" thickBot="1" x14ac:dyDescent="0.35">
      <c r="A3" s="78">
        <f>D3-273.15-10</f>
        <v>20.980000000000018</v>
      </c>
      <c r="B3" s="78" t="s">
        <v>27</v>
      </c>
      <c r="C3" s="78">
        <v>42.9</v>
      </c>
      <c r="D3" s="79">
        <v>304.13</v>
      </c>
      <c r="E3" s="79">
        <v>7474.89</v>
      </c>
      <c r="F3" s="79">
        <v>0.31</v>
      </c>
      <c r="G3" s="78">
        <v>10.17</v>
      </c>
      <c r="H3" s="78">
        <v>900</v>
      </c>
      <c r="I3" s="78">
        <v>11.2</v>
      </c>
      <c r="J3" s="78">
        <v>700</v>
      </c>
      <c r="L3" s="2" t="s">
        <v>123</v>
      </c>
    </row>
    <row r="4" spans="1:12" x14ac:dyDescent="0.3">
      <c r="A4" s="6">
        <f>D4-273.15-10</f>
        <v>13.439999999999998</v>
      </c>
      <c r="B4" s="8" t="s">
        <v>50</v>
      </c>
      <c r="C4" s="6">
        <v>43.49</v>
      </c>
      <c r="D4" s="7">
        <v>296.58999999999997</v>
      </c>
      <c r="E4" s="7">
        <v>7935.27</v>
      </c>
      <c r="F4" s="7">
        <v>0.26</v>
      </c>
      <c r="G4" s="6">
        <f>444.68-432.91</f>
        <v>11.769999999999982</v>
      </c>
      <c r="H4" s="6">
        <v>1000</v>
      </c>
      <c r="I4" s="6">
        <f>348.88-339.1</f>
        <v>9.7799999999999727</v>
      </c>
      <c r="J4" s="6">
        <v>800</v>
      </c>
      <c r="L4" s="2" t="s">
        <v>124</v>
      </c>
    </row>
    <row r="5" spans="1:12" x14ac:dyDescent="0.3">
      <c r="A5" s="6">
        <f t="shared" ref="A5:A9" si="0">D5-273.15-10</f>
        <v>4.2400000000000091</v>
      </c>
      <c r="B5" s="8" t="s">
        <v>51</v>
      </c>
      <c r="C5" s="6">
        <v>45.05</v>
      </c>
      <c r="D5" s="7">
        <v>287.39</v>
      </c>
      <c r="E5" s="7">
        <v>7851.58</v>
      </c>
      <c r="F5" s="7">
        <v>0.25</v>
      </c>
      <c r="G5" s="6">
        <f>439.42-427.72</f>
        <v>11.699999999999989</v>
      </c>
      <c r="H5" s="6">
        <v>1200</v>
      </c>
      <c r="I5" s="6">
        <f>339.92-330.16</f>
        <v>9.7599999999999909</v>
      </c>
      <c r="J5" s="6">
        <v>900</v>
      </c>
      <c r="L5" s="2" t="s">
        <v>125</v>
      </c>
    </row>
    <row r="6" spans="1:12" x14ac:dyDescent="0.3">
      <c r="A6" s="6">
        <f t="shared" si="0"/>
        <v>-5.4599999999999795</v>
      </c>
      <c r="B6" s="8" t="s">
        <v>52</v>
      </c>
      <c r="C6" s="6">
        <v>46.21</v>
      </c>
      <c r="D6" s="7">
        <v>277.69</v>
      </c>
      <c r="E6" s="7">
        <v>7482.4</v>
      </c>
      <c r="F6" s="7">
        <v>0.23</v>
      </c>
      <c r="G6" s="6">
        <f>427.9-415.79</f>
        <v>12.109999999999957</v>
      </c>
      <c r="H6" s="6">
        <v>1100</v>
      </c>
      <c r="I6" s="6">
        <f>329.99-320.17</f>
        <v>9.8199999999999932</v>
      </c>
      <c r="J6" s="6">
        <v>850</v>
      </c>
    </row>
    <row r="7" spans="1:12" x14ac:dyDescent="0.3">
      <c r="A7" s="6">
        <f t="shared" si="0"/>
        <v>-8.3599999999999568</v>
      </c>
      <c r="B7" s="8" t="s">
        <v>71</v>
      </c>
      <c r="C7" s="6">
        <v>46.48</v>
      </c>
      <c r="D7" s="7">
        <v>274.79000000000002</v>
      </c>
      <c r="E7" s="7">
        <v>7231.16</v>
      </c>
      <c r="F7" s="7">
        <v>0.22</v>
      </c>
      <c r="G7" s="6">
        <f>418.96-408.28</f>
        <v>10.680000000000007</v>
      </c>
      <c r="H7" s="6">
        <v>1150</v>
      </c>
      <c r="I7" s="6">
        <f>329.44-319.59</f>
        <v>9.8500000000000227</v>
      </c>
      <c r="J7" s="6">
        <v>750</v>
      </c>
    </row>
    <row r="8" spans="1:12" x14ac:dyDescent="0.3">
      <c r="A8" s="6">
        <f t="shared" si="0"/>
        <v>-14.96999999999997</v>
      </c>
      <c r="B8" s="8" t="s">
        <v>53</v>
      </c>
      <c r="C8" s="6">
        <v>47.45</v>
      </c>
      <c r="D8" s="7">
        <v>268.18</v>
      </c>
      <c r="E8" s="7">
        <v>6935.24</v>
      </c>
      <c r="F8" s="7">
        <v>0.22</v>
      </c>
      <c r="G8" s="6">
        <f>411.72-400.89</f>
        <v>10.830000000000041</v>
      </c>
      <c r="H8" s="6">
        <v>1140</v>
      </c>
      <c r="I8" s="6">
        <f>321.8-310.83</f>
        <v>10.970000000000027</v>
      </c>
      <c r="J8" s="6">
        <v>700</v>
      </c>
      <c r="L8" s="3"/>
    </row>
    <row r="9" spans="1:12" x14ac:dyDescent="0.3">
      <c r="A9" s="6">
        <f t="shared" si="0"/>
        <v>-18.589999999999975</v>
      </c>
      <c r="B9" s="6" t="s">
        <v>70</v>
      </c>
      <c r="C9" s="7">
        <v>48.45</v>
      </c>
      <c r="D9" s="4">
        <v>264.56</v>
      </c>
      <c r="E9" s="4">
        <v>6695.28</v>
      </c>
      <c r="F9" s="4">
        <v>0.22</v>
      </c>
      <c r="G9" s="6">
        <f>414.23-403.44</f>
        <v>10.79000000000002</v>
      </c>
      <c r="H9" s="6">
        <v>1150</v>
      </c>
      <c r="I9" s="6">
        <f>317.05-307.37</f>
        <v>9.6800000000000068</v>
      </c>
      <c r="J9" s="6">
        <v>800</v>
      </c>
      <c r="L9" s="3"/>
    </row>
    <row r="10" spans="1:12" x14ac:dyDescent="0.3">
      <c r="A10" s="6">
        <f>D10-273.15-10</f>
        <v>-28.519999999999982</v>
      </c>
      <c r="B10" s="6" t="s">
        <v>69</v>
      </c>
      <c r="C10" s="7">
        <v>50.36</v>
      </c>
      <c r="D10" s="4">
        <v>254.63</v>
      </c>
      <c r="E10" s="4">
        <v>5998.71</v>
      </c>
      <c r="F10" s="4">
        <v>0.22</v>
      </c>
      <c r="G10" s="15">
        <f>408.89-398.87</f>
        <v>10.019999999999982</v>
      </c>
      <c r="H10" s="4">
        <v>1150</v>
      </c>
      <c r="I10" s="6">
        <f>307.33-297.64</f>
        <v>9.6899999999999977</v>
      </c>
      <c r="J10" s="4">
        <v>800</v>
      </c>
      <c r="L10" s="3"/>
    </row>
    <row r="11" spans="1:12" x14ac:dyDescent="0.3">
      <c r="A11" s="6">
        <f>D11-273.15-10</f>
        <v>-37.899999999999977</v>
      </c>
      <c r="B11" s="6" t="s">
        <v>68</v>
      </c>
      <c r="C11" s="7">
        <v>52.25</v>
      </c>
      <c r="D11" s="4">
        <v>245.25</v>
      </c>
      <c r="E11" s="4">
        <v>5348.84</v>
      </c>
      <c r="F11" s="4">
        <v>0.22</v>
      </c>
      <c r="G11" s="15">
        <f>404.66-394.95</f>
        <v>9.7100000000000364</v>
      </c>
      <c r="H11" s="4">
        <v>1150</v>
      </c>
      <c r="I11" s="15">
        <f>297.13-287.24</f>
        <v>9.8899999999999864</v>
      </c>
      <c r="J11" s="4">
        <v>800</v>
      </c>
    </row>
    <row r="12" spans="1:12" ht="15" thickBot="1" x14ac:dyDescent="0.35">
      <c r="A12" s="6">
        <f>D12-273.15-10</f>
        <v>-42.939999999999969</v>
      </c>
      <c r="B12" s="6" t="s">
        <v>82</v>
      </c>
      <c r="C12" s="6">
        <v>53.55</v>
      </c>
      <c r="D12" s="6">
        <v>240.21</v>
      </c>
      <c r="E12" s="6">
        <v>5024.3</v>
      </c>
      <c r="F12" s="6">
        <v>0.22</v>
      </c>
      <c r="G12" s="6">
        <f>415.72-404.34</f>
        <v>11.380000000000052</v>
      </c>
      <c r="H12" s="6">
        <v>1100</v>
      </c>
      <c r="I12" s="6">
        <f>290.28-281.17</f>
        <v>9.1099999999999568</v>
      </c>
      <c r="J12" s="6">
        <v>1000</v>
      </c>
    </row>
    <row r="13" spans="1:12" x14ac:dyDescent="0.3">
      <c r="A13" s="88">
        <f t="shared" ref="A13:A15" si="1">D13-273.15-10</f>
        <v>-108.78999999999996</v>
      </c>
      <c r="B13" s="87" t="s">
        <v>168</v>
      </c>
      <c r="C13" s="86">
        <v>58.2</v>
      </c>
      <c r="D13" s="86">
        <v>174.36</v>
      </c>
      <c r="E13" s="86">
        <v>5174.2</v>
      </c>
      <c r="F13" s="86">
        <v>0.22</v>
      </c>
      <c r="G13" s="86">
        <f>427.58-417.57</f>
        <v>10.009999999999991</v>
      </c>
      <c r="H13" s="86">
        <v>400</v>
      </c>
      <c r="I13" s="86">
        <f>427.58-417.57</f>
        <v>10.009999999999991</v>
      </c>
      <c r="J13" s="86">
        <v>450</v>
      </c>
    </row>
    <row r="14" spans="1:12" x14ac:dyDescent="0.3">
      <c r="A14" s="67">
        <f t="shared" si="1"/>
        <v>-93.449999999999989</v>
      </c>
      <c r="B14" s="65" t="s">
        <v>167</v>
      </c>
      <c r="C14" s="64">
        <v>55.35</v>
      </c>
      <c r="D14" s="64">
        <v>189.7</v>
      </c>
      <c r="E14" s="64">
        <v>5425.63</v>
      </c>
      <c r="F14" s="64">
        <v>0.22</v>
      </c>
      <c r="G14" s="64">
        <f>437.21-426.07</f>
        <v>11.139999999999986</v>
      </c>
      <c r="H14" s="64">
        <v>450</v>
      </c>
      <c r="I14" s="64">
        <f>272.5-262.05</f>
        <v>10.449999999999989</v>
      </c>
      <c r="J14" s="64">
        <v>500</v>
      </c>
    </row>
    <row r="15" spans="1:12" x14ac:dyDescent="0.3">
      <c r="A15" s="67">
        <f t="shared" si="1"/>
        <v>-78.099999999999966</v>
      </c>
      <c r="B15" s="65" t="s">
        <v>166</v>
      </c>
      <c r="C15" s="64">
        <v>53.71</v>
      </c>
      <c r="D15" s="64">
        <v>205.05</v>
      </c>
      <c r="E15" s="64">
        <v>5677.06</v>
      </c>
      <c r="F15" s="64">
        <v>0.24</v>
      </c>
      <c r="G15" s="64">
        <f>425.79-414.7</f>
        <v>11.090000000000032</v>
      </c>
      <c r="H15" s="64">
        <v>550</v>
      </c>
      <c r="I15" s="64">
        <f>278.14-267.14</f>
        <v>11</v>
      </c>
      <c r="J15" s="64">
        <v>500</v>
      </c>
    </row>
    <row r="16" spans="1:12" ht="14.4" customHeight="1" x14ac:dyDescent="0.3">
      <c r="A16" s="67">
        <f>D16-273.15-10</f>
        <v>-52.019999999999982</v>
      </c>
      <c r="B16" s="65" t="s">
        <v>133</v>
      </c>
      <c r="C16" s="67">
        <v>51.45</v>
      </c>
      <c r="D16" s="65">
        <v>231.13</v>
      </c>
      <c r="E16" s="67">
        <v>6104.49</v>
      </c>
      <c r="F16" s="65">
        <v>0.27</v>
      </c>
      <c r="G16" s="67">
        <f>441.92-431.7</f>
        <v>10.220000000000027</v>
      </c>
      <c r="H16" s="65">
        <v>700</v>
      </c>
      <c r="I16" s="67">
        <f>295.11-285.33</f>
        <v>9.7800000000000296</v>
      </c>
      <c r="J16" s="65">
        <v>700</v>
      </c>
    </row>
    <row r="17" spans="1:10" ht="13.2" customHeight="1" x14ac:dyDescent="0.3">
      <c r="A17" s="67">
        <f>D17-273.15-10</f>
        <v>-23.909999999999968</v>
      </c>
      <c r="B17" s="65" t="s">
        <v>162</v>
      </c>
      <c r="C17" s="67">
        <v>47.69</v>
      </c>
      <c r="D17" s="65">
        <v>259.24</v>
      </c>
      <c r="E17" s="67">
        <v>10837.95</v>
      </c>
      <c r="F17" s="65">
        <v>0.2</v>
      </c>
      <c r="G17" s="67">
        <f>385.24-374.05</f>
        <v>11.189999999999998</v>
      </c>
      <c r="H17" s="65">
        <v>1350</v>
      </c>
      <c r="I17" s="67">
        <f>299.96-289.01</f>
        <v>10.949999999999989</v>
      </c>
      <c r="J17" s="65">
        <v>1550</v>
      </c>
    </row>
    <row r="18" spans="1:10" ht="13.2" customHeight="1" x14ac:dyDescent="0.3">
      <c r="A18" s="67">
        <f>D18-273.15-10</f>
        <v>-8.839999999999975</v>
      </c>
      <c r="B18" s="65" t="s">
        <v>163</v>
      </c>
      <c r="C18" s="67">
        <v>46.33</v>
      </c>
      <c r="D18" s="65">
        <v>274.31</v>
      </c>
      <c r="E18" s="67">
        <v>9793.14</v>
      </c>
      <c r="F18" s="65">
        <v>0.25</v>
      </c>
      <c r="G18" s="67">
        <f>421.18-410.14</f>
        <v>11.04000000000002</v>
      </c>
      <c r="H18" s="65">
        <v>1300</v>
      </c>
      <c r="I18" s="67">
        <f>321.76-311.7</f>
        <v>10.060000000000002</v>
      </c>
      <c r="J18" s="65">
        <v>1400</v>
      </c>
    </row>
    <row r="19" spans="1:10" ht="13.2" customHeight="1" x14ac:dyDescent="0.3">
      <c r="A19" s="67">
        <f>D19-273.15-10</f>
        <v>3.3400000000000318</v>
      </c>
      <c r="B19" s="65" t="s">
        <v>165</v>
      </c>
      <c r="C19" s="67">
        <v>44.76</v>
      </c>
      <c r="D19" s="65">
        <v>286.49</v>
      </c>
      <c r="E19" s="67">
        <v>8846.17</v>
      </c>
      <c r="F19" s="65">
        <v>0.26</v>
      </c>
      <c r="G19" s="67">
        <f>440.57-429.58</f>
        <v>10.990000000000009</v>
      </c>
      <c r="H19" s="65">
        <v>1200</v>
      </c>
      <c r="I19" s="67">
        <f>339.24-329.64</f>
        <v>9.6000000000000227</v>
      </c>
      <c r="J19" s="65">
        <v>1100</v>
      </c>
    </row>
    <row r="20" spans="1:10" ht="13.2" customHeight="1" thickBot="1" x14ac:dyDescent="0.35">
      <c r="A20" s="91">
        <f>D20-273.15-10</f>
        <v>13.410000000000025</v>
      </c>
      <c r="B20" s="90" t="s">
        <v>164</v>
      </c>
      <c r="C20" s="91">
        <v>43.52</v>
      </c>
      <c r="D20" s="90">
        <v>296.56</v>
      </c>
      <c r="E20" s="91">
        <v>8448.02</v>
      </c>
      <c r="F20" s="90">
        <v>0.27</v>
      </c>
      <c r="G20" s="91">
        <f>448.1-437.67</f>
        <v>10.430000000000007</v>
      </c>
      <c r="H20" s="90">
        <v>1100</v>
      </c>
      <c r="I20" s="91">
        <f>350.04-340.83</f>
        <v>9.2100000000000364</v>
      </c>
      <c r="J20" s="90">
        <v>950</v>
      </c>
    </row>
    <row r="21" spans="1:10" x14ac:dyDescent="0.3">
      <c r="A21" s="74">
        <f t="shared" ref="A21" si="2">D21-273.15-10</f>
        <v>-29.149999999999977</v>
      </c>
      <c r="B21" s="74" t="s">
        <v>67</v>
      </c>
      <c r="C21" s="75">
        <v>47.22</v>
      </c>
      <c r="D21" s="75">
        <v>254</v>
      </c>
      <c r="E21" s="87">
        <v>7460.7</v>
      </c>
      <c r="F21" s="75">
        <v>0.05</v>
      </c>
      <c r="G21" s="76">
        <f>344.29-333.38</f>
        <v>10.910000000000025</v>
      </c>
      <c r="H21" s="75">
        <v>1800</v>
      </c>
      <c r="I21" s="74">
        <f>310.18-300.33</f>
        <v>9.8500000000000227</v>
      </c>
      <c r="J21" s="75">
        <v>400</v>
      </c>
    </row>
    <row r="22" spans="1:10" x14ac:dyDescent="0.3">
      <c r="A22" s="6">
        <f>D22-273.15-10</f>
        <v>-39.149999999999977</v>
      </c>
      <c r="B22" s="6" t="s">
        <v>67</v>
      </c>
      <c r="C22" s="31">
        <v>50.54</v>
      </c>
      <c r="D22" s="7">
        <v>244</v>
      </c>
      <c r="E22" s="65">
        <v>6060.7</v>
      </c>
      <c r="F22" s="7">
        <v>0.14000000000000001</v>
      </c>
      <c r="G22" s="6">
        <f>374.22-363.7</f>
        <v>10.520000000000039</v>
      </c>
      <c r="H22" s="6">
        <v>1500</v>
      </c>
      <c r="I22" s="6">
        <f>301.76-290.8</f>
        <v>10.95999999999998</v>
      </c>
      <c r="J22" s="6">
        <v>600</v>
      </c>
    </row>
    <row r="23" spans="1:10" ht="15" thickBot="1" x14ac:dyDescent="0.35">
      <c r="A23" s="5">
        <f>D23-273.15-10</f>
        <v>-49.149999999999977</v>
      </c>
      <c r="B23" s="44" t="s">
        <v>67</v>
      </c>
      <c r="C23" s="53">
        <v>54.07</v>
      </c>
      <c r="D23" s="34">
        <v>234</v>
      </c>
      <c r="E23" s="94">
        <v>4660.7</v>
      </c>
      <c r="F23" s="34">
        <v>0.19</v>
      </c>
      <c r="G23" s="5">
        <f>389.09-378.35</f>
        <v>10.739999999999952</v>
      </c>
      <c r="H23" s="5">
        <v>1150</v>
      </c>
      <c r="I23" s="5">
        <f>284.53-273.96</f>
        <v>10.569999999999993</v>
      </c>
      <c r="J23" s="5">
        <v>700</v>
      </c>
    </row>
    <row r="24" spans="1:10" ht="15.6" thickTop="1" thickBot="1" x14ac:dyDescent="0.35"/>
    <row r="25" spans="1:10" ht="15.6" customHeight="1" thickTop="1" thickBot="1" x14ac:dyDescent="0.35">
      <c r="A25" s="135" t="s">
        <v>200</v>
      </c>
      <c r="B25" s="136"/>
      <c r="C25" s="136"/>
      <c r="D25" s="136"/>
      <c r="E25" s="136"/>
      <c r="F25" s="136"/>
      <c r="G25" s="136"/>
      <c r="H25" s="136"/>
      <c r="I25" s="136"/>
      <c r="J25" s="136"/>
    </row>
    <row r="26" spans="1:10" ht="42.6" thickTop="1" thickBot="1" x14ac:dyDescent="0.35">
      <c r="A26" s="77" t="s">
        <v>33</v>
      </c>
      <c r="B26" s="77" t="s">
        <v>15</v>
      </c>
      <c r="C26" s="77" t="s">
        <v>22</v>
      </c>
      <c r="D26" s="77" t="s">
        <v>17</v>
      </c>
      <c r="E26" s="77" t="s">
        <v>16</v>
      </c>
      <c r="F26" s="77" t="s">
        <v>28</v>
      </c>
      <c r="G26" s="77" t="s">
        <v>20</v>
      </c>
      <c r="H26" s="77" t="s">
        <v>29</v>
      </c>
      <c r="I26" s="77" t="s">
        <v>21</v>
      </c>
      <c r="J26" s="77" t="s">
        <v>30</v>
      </c>
    </row>
    <row r="27" spans="1:10" ht="15" thickBot="1" x14ac:dyDescent="0.35">
      <c r="A27" s="78">
        <f t="shared" ref="A27:A35" si="3">D27-273.15-10</f>
        <v>20.980000000000018</v>
      </c>
      <c r="B27" s="78" t="s">
        <v>27</v>
      </c>
      <c r="C27" s="78">
        <v>42.9</v>
      </c>
      <c r="D27" s="79">
        <v>304.13</v>
      </c>
      <c r="E27" s="79">
        <v>7474.89</v>
      </c>
      <c r="F27" s="79">
        <v>0.31</v>
      </c>
      <c r="G27" s="78">
        <v>10.17</v>
      </c>
      <c r="H27" s="78">
        <v>900</v>
      </c>
      <c r="I27" s="78">
        <v>11.2</v>
      </c>
      <c r="J27" s="78">
        <v>700</v>
      </c>
    </row>
    <row r="28" spans="1:10" ht="13.8" customHeight="1" x14ac:dyDescent="0.3">
      <c r="A28" s="64">
        <f t="shared" si="3"/>
        <v>-53.389999999999986</v>
      </c>
      <c r="B28" s="64" t="s">
        <v>131</v>
      </c>
      <c r="C28" s="65">
        <v>54.45</v>
      </c>
      <c r="D28" s="65">
        <v>229.76</v>
      </c>
      <c r="E28" s="65">
        <v>4663.12</v>
      </c>
      <c r="F28" s="65">
        <v>0.24</v>
      </c>
      <c r="G28" s="64">
        <f>448.23-438.26</f>
        <v>9.9700000000000273</v>
      </c>
      <c r="H28" s="64">
        <v>1150</v>
      </c>
      <c r="I28" s="64">
        <f>296.74-286.11</f>
        <v>10.629999999999995</v>
      </c>
      <c r="J28" s="64">
        <v>1200</v>
      </c>
    </row>
    <row r="29" spans="1:10" ht="13.8" customHeight="1" x14ac:dyDescent="0.3">
      <c r="A29" s="64">
        <f t="shared" si="3"/>
        <v>-60.759999999999991</v>
      </c>
      <c r="B29" s="64" t="s">
        <v>141</v>
      </c>
      <c r="C29" s="65">
        <v>55.37</v>
      </c>
      <c r="D29" s="65">
        <v>222.39</v>
      </c>
      <c r="E29" s="65">
        <v>4684.7700000000004</v>
      </c>
      <c r="F29" s="65">
        <v>0.25</v>
      </c>
      <c r="G29" s="64">
        <f>452.07-441.58</f>
        <v>10.490000000000009</v>
      </c>
      <c r="H29" s="64">
        <v>1000</v>
      </c>
      <c r="I29" s="64">
        <f>289.42-278.05</f>
        <v>11.370000000000005</v>
      </c>
      <c r="J29" s="64">
        <v>1200</v>
      </c>
    </row>
    <row r="30" spans="1:10" ht="13.8" customHeight="1" x14ac:dyDescent="0.3">
      <c r="A30" s="64">
        <f t="shared" si="3"/>
        <v>-63.399999999999977</v>
      </c>
      <c r="B30" s="64" t="s">
        <v>142</v>
      </c>
      <c r="C30" s="65">
        <v>53.66</v>
      </c>
      <c r="D30" s="65">
        <v>219.75</v>
      </c>
      <c r="E30" s="65">
        <v>4945.7</v>
      </c>
      <c r="F30" s="65">
        <v>0.2</v>
      </c>
      <c r="G30" s="64">
        <f>447.77-437.65</f>
        <v>10.120000000000005</v>
      </c>
      <c r="H30" s="64">
        <v>1000</v>
      </c>
      <c r="I30" s="64">
        <f>303.67-293.82</f>
        <v>9.8500000000000227</v>
      </c>
      <c r="J30" s="64">
        <v>850</v>
      </c>
    </row>
    <row r="31" spans="1:10" ht="13.8" customHeight="1" x14ac:dyDescent="0.3">
      <c r="A31" s="64">
        <f t="shared" si="3"/>
        <v>-68.22999999999999</v>
      </c>
      <c r="B31" s="64" t="s">
        <v>143</v>
      </c>
      <c r="C31" s="65">
        <v>54.91</v>
      </c>
      <c r="D31" s="65">
        <v>214.92</v>
      </c>
      <c r="E31" s="65">
        <v>5495.66</v>
      </c>
      <c r="F31" s="65">
        <v>0.22</v>
      </c>
      <c r="G31" s="64">
        <f>444.15-434.6</f>
        <v>9.5499999999999545</v>
      </c>
      <c r="H31" s="64">
        <v>1000</v>
      </c>
      <c r="I31" s="64">
        <f>291.1-281.49</f>
        <v>9.6100000000000136</v>
      </c>
      <c r="J31" s="64">
        <v>1000</v>
      </c>
    </row>
    <row r="32" spans="1:10" ht="13.8" customHeight="1" x14ac:dyDescent="0.3">
      <c r="A32" s="64">
        <f t="shared" si="3"/>
        <v>-73.169999999999987</v>
      </c>
      <c r="B32" s="64" t="s">
        <v>144</v>
      </c>
      <c r="C32" s="65">
        <v>55.11</v>
      </c>
      <c r="D32" s="65">
        <v>209.98</v>
      </c>
      <c r="E32" s="65">
        <v>6035.43</v>
      </c>
      <c r="F32" s="65">
        <v>0.22</v>
      </c>
      <c r="G32" s="64">
        <f>439.64-428.99</f>
        <v>10.649999999999977</v>
      </c>
      <c r="H32" s="64">
        <v>900</v>
      </c>
      <c r="I32" s="64">
        <f>285.69-275.01</f>
        <v>10.680000000000007</v>
      </c>
      <c r="J32" s="64">
        <v>900</v>
      </c>
    </row>
    <row r="33" spans="1:10" ht="13.8" customHeight="1" x14ac:dyDescent="0.3">
      <c r="A33" s="64">
        <f t="shared" si="3"/>
        <v>-79.099999999999966</v>
      </c>
      <c r="B33" s="64" t="s">
        <v>145</v>
      </c>
      <c r="C33" s="65">
        <v>55.82</v>
      </c>
      <c r="D33" s="65">
        <v>204.05</v>
      </c>
      <c r="E33" s="65">
        <v>6649.19</v>
      </c>
      <c r="F33" s="65">
        <v>0.22</v>
      </c>
      <c r="G33" s="64">
        <f>418.17-408.26</f>
        <v>9.910000000000025</v>
      </c>
      <c r="H33" s="64">
        <v>900</v>
      </c>
      <c r="I33" s="64">
        <f>275.95-265.53</f>
        <v>10.420000000000016</v>
      </c>
      <c r="J33" s="64">
        <v>800</v>
      </c>
    </row>
    <row r="34" spans="1:10" ht="13.8" customHeight="1" x14ac:dyDescent="0.3">
      <c r="A34" s="64">
        <f t="shared" si="3"/>
        <v>-86.779999999999973</v>
      </c>
      <c r="B34" s="64" t="s">
        <v>169</v>
      </c>
      <c r="C34" s="65">
        <v>56.82</v>
      </c>
      <c r="D34" s="65">
        <v>196.37</v>
      </c>
      <c r="E34" s="65">
        <v>7283.13</v>
      </c>
      <c r="F34" s="65">
        <v>0.22</v>
      </c>
      <c r="G34" s="64">
        <f>394.68-384.14</f>
        <v>10.54000000000002</v>
      </c>
      <c r="H34" s="64">
        <v>800</v>
      </c>
      <c r="I34" s="64">
        <f>262.19-251.87</f>
        <v>10.319999999999993</v>
      </c>
      <c r="J34" s="64">
        <v>700</v>
      </c>
    </row>
    <row r="35" spans="1:10" ht="13.8" customHeight="1" thickBot="1" x14ac:dyDescent="0.35">
      <c r="A35" s="93">
        <f t="shared" si="3"/>
        <v>-108.78999999999996</v>
      </c>
      <c r="B35" s="93" t="s">
        <v>168</v>
      </c>
      <c r="C35" s="94">
        <v>58.57</v>
      </c>
      <c r="D35" s="94">
        <v>174.36</v>
      </c>
      <c r="E35" s="94">
        <v>5274.2</v>
      </c>
      <c r="F35" s="94">
        <v>0.23</v>
      </c>
      <c r="G35" s="93">
        <f>432.14-422</f>
        <v>10.139999999999986</v>
      </c>
      <c r="H35" s="93">
        <v>400</v>
      </c>
      <c r="I35" s="93">
        <f>253.17-242.78</f>
        <v>10.389999999999986</v>
      </c>
      <c r="J35" s="93">
        <v>500</v>
      </c>
    </row>
    <row r="36" spans="1:10" s="3" customFormat="1" ht="16.2" customHeight="1" thickTop="1" thickBot="1" x14ac:dyDescent="0.35">
      <c r="A36" s="8"/>
      <c r="B36" s="8"/>
      <c r="C36" s="31"/>
      <c r="D36" s="14"/>
      <c r="E36" s="14"/>
      <c r="F36" s="14"/>
      <c r="G36" s="8"/>
      <c r="H36" s="8"/>
      <c r="I36" s="8"/>
      <c r="J36" s="8"/>
    </row>
    <row r="37" spans="1:10" ht="15.6" customHeight="1" thickTop="1" thickBot="1" x14ac:dyDescent="0.35">
      <c r="A37" s="135" t="s">
        <v>201</v>
      </c>
      <c r="B37" s="136"/>
      <c r="C37" s="136"/>
      <c r="D37" s="136"/>
      <c r="E37" s="136"/>
      <c r="F37" s="136"/>
      <c r="G37" s="136"/>
      <c r="H37" s="136"/>
      <c r="I37" s="136"/>
      <c r="J37" s="136"/>
    </row>
    <row r="38" spans="1:10" ht="42.6" thickTop="1" thickBot="1" x14ac:dyDescent="0.35">
      <c r="A38" s="77" t="s">
        <v>33</v>
      </c>
      <c r="B38" s="77" t="s">
        <v>15</v>
      </c>
      <c r="C38" s="77" t="s">
        <v>22</v>
      </c>
      <c r="D38" s="77" t="s">
        <v>17</v>
      </c>
      <c r="E38" s="77" t="s">
        <v>16</v>
      </c>
      <c r="F38" s="77" t="s">
        <v>28</v>
      </c>
      <c r="G38" s="77" t="s">
        <v>20</v>
      </c>
      <c r="H38" s="77" t="s">
        <v>29</v>
      </c>
      <c r="I38" s="77" t="s">
        <v>21</v>
      </c>
      <c r="J38" s="77" t="s">
        <v>30</v>
      </c>
    </row>
    <row r="39" spans="1:10" s="3" customFormat="1" ht="15" thickBot="1" x14ac:dyDescent="0.35">
      <c r="A39" s="78">
        <f t="shared" ref="A39:A49" si="4">D39-273.15-10</f>
        <v>20.980000000000018</v>
      </c>
      <c r="B39" s="78" t="s">
        <v>27</v>
      </c>
      <c r="C39" s="78">
        <v>42.9</v>
      </c>
      <c r="D39" s="80">
        <v>304.13</v>
      </c>
      <c r="E39" s="80">
        <v>7474.89</v>
      </c>
      <c r="F39" s="80">
        <v>0.31</v>
      </c>
      <c r="G39" s="82">
        <v>10.17</v>
      </c>
      <c r="H39" s="82">
        <v>900</v>
      </c>
      <c r="I39" s="82">
        <v>11.2</v>
      </c>
      <c r="J39" s="82">
        <v>700</v>
      </c>
    </row>
    <row r="40" spans="1:10" s="3" customFormat="1" ht="13.8" customHeight="1" x14ac:dyDescent="0.3">
      <c r="A40" s="64">
        <f t="shared" si="4"/>
        <v>-109.43999999999997</v>
      </c>
      <c r="B40" s="87" t="s">
        <v>185</v>
      </c>
      <c r="C40" s="87">
        <v>59.28</v>
      </c>
      <c r="D40" s="87">
        <v>173.71</v>
      </c>
      <c r="E40" s="87">
        <v>5203.13</v>
      </c>
      <c r="F40" s="87">
        <v>0.2</v>
      </c>
      <c r="G40" s="86">
        <f>389.55-378.72</f>
        <v>10.829999999999984</v>
      </c>
      <c r="H40" s="86">
        <v>450</v>
      </c>
      <c r="I40" s="86">
        <f>250.13-240.17</f>
        <v>9.960000000000008</v>
      </c>
      <c r="J40" s="86">
        <v>375</v>
      </c>
    </row>
    <row r="41" spans="1:10" s="3" customFormat="1" ht="13.8" customHeight="1" x14ac:dyDescent="0.3">
      <c r="A41" s="64">
        <f t="shared" si="4"/>
        <v>-94.099999999999966</v>
      </c>
      <c r="B41" s="65" t="s">
        <v>186</v>
      </c>
      <c r="C41" s="65">
        <v>56.02</v>
      </c>
      <c r="D41" s="65">
        <v>189.05</v>
      </c>
      <c r="E41" s="65">
        <v>5454.56</v>
      </c>
      <c r="F41" s="65">
        <v>0.2</v>
      </c>
      <c r="G41" s="64">
        <f>399.74-389.43</f>
        <v>10.310000000000002</v>
      </c>
      <c r="H41" s="64">
        <v>550</v>
      </c>
      <c r="I41" s="64">
        <f>269.77-259.36</f>
        <v>10.409999999999968</v>
      </c>
      <c r="J41" s="64">
        <v>400</v>
      </c>
    </row>
    <row r="42" spans="1:10" s="3" customFormat="1" ht="13.8" customHeight="1" x14ac:dyDescent="0.3">
      <c r="A42" s="64">
        <f t="shared" si="4"/>
        <v>-78.749999999999972</v>
      </c>
      <c r="B42" s="65" t="s">
        <v>187</v>
      </c>
      <c r="C42" s="65">
        <v>54.78</v>
      </c>
      <c r="D42" s="65">
        <v>204.4</v>
      </c>
      <c r="E42" s="65">
        <v>5605.99</v>
      </c>
      <c r="F42" s="65">
        <v>0.25</v>
      </c>
      <c r="G42" s="64">
        <f>439.07-428.6</f>
        <v>10.46999999999997</v>
      </c>
      <c r="H42" s="64">
        <v>600</v>
      </c>
      <c r="I42" s="64">
        <f>276.46-265.88</f>
        <v>10.579999999999984</v>
      </c>
      <c r="J42" s="64">
        <v>600</v>
      </c>
    </row>
    <row r="43" spans="1:10" s="3" customFormat="1" ht="13.8" customHeight="1" x14ac:dyDescent="0.3">
      <c r="A43" s="64">
        <f t="shared" si="4"/>
        <v>-63.409999999999968</v>
      </c>
      <c r="B43" s="65" t="s">
        <v>207</v>
      </c>
      <c r="C43" s="65">
        <v>53.03</v>
      </c>
      <c r="D43" s="65">
        <v>219.74</v>
      </c>
      <c r="E43" s="65">
        <v>5857.42</v>
      </c>
      <c r="F43" s="65">
        <v>0.26</v>
      </c>
      <c r="G43" s="64">
        <f>430.43-420.54</f>
        <v>9.8899999999999864</v>
      </c>
      <c r="H43" s="64">
        <v>700</v>
      </c>
      <c r="I43" s="64">
        <f>286.06-275.27</f>
        <v>10.79000000000002</v>
      </c>
      <c r="J43" s="64">
        <v>600</v>
      </c>
    </row>
    <row r="44" spans="1:10" s="3" customFormat="1" ht="13.8" customHeight="1" x14ac:dyDescent="0.3">
      <c r="A44" s="64">
        <f t="shared" si="4"/>
        <v>-48.069999999999965</v>
      </c>
      <c r="B44" s="65" t="s">
        <v>132</v>
      </c>
      <c r="C44" s="65">
        <v>51.12</v>
      </c>
      <c r="D44" s="65">
        <v>235.08</v>
      </c>
      <c r="E44" s="65">
        <v>6108.85</v>
      </c>
      <c r="F44" s="65">
        <v>0.26</v>
      </c>
      <c r="G44" s="64">
        <f>432.13-421.57</f>
        <v>10.560000000000002</v>
      </c>
      <c r="H44" s="64">
        <v>750</v>
      </c>
      <c r="I44" s="64">
        <f>299.51-288.35</f>
        <v>11.159999999999968</v>
      </c>
      <c r="J44" s="64">
        <v>600</v>
      </c>
    </row>
    <row r="45" spans="1:10" s="3" customFormat="1" ht="13.8" customHeight="1" x14ac:dyDescent="0.3">
      <c r="A45" s="64">
        <f t="shared" si="4"/>
        <v>-40.389999999999986</v>
      </c>
      <c r="B45" s="65" t="s">
        <v>208</v>
      </c>
      <c r="C45" s="65">
        <v>50.06</v>
      </c>
      <c r="D45" s="65">
        <v>242.76</v>
      </c>
      <c r="E45" s="65">
        <v>6234.56</v>
      </c>
      <c r="F45" s="65">
        <v>0.26</v>
      </c>
      <c r="G45" s="64">
        <f>438.97-427.43</f>
        <v>11.54000000000002</v>
      </c>
      <c r="H45" s="64">
        <v>750</v>
      </c>
      <c r="I45" s="64">
        <f>307.85-296.1</f>
        <v>11.75</v>
      </c>
      <c r="J45" s="64">
        <v>600</v>
      </c>
    </row>
    <row r="46" spans="1:10" s="3" customFormat="1" ht="13.8" customHeight="1" x14ac:dyDescent="0.3">
      <c r="A46" s="64">
        <f t="shared" si="4"/>
        <v>-23.370000000000005</v>
      </c>
      <c r="B46" s="65" t="s">
        <v>188</v>
      </c>
      <c r="C46" s="65">
        <v>48.12</v>
      </c>
      <c r="D46" s="65">
        <v>259.77999999999997</v>
      </c>
      <c r="E46" s="65">
        <v>10610.41</v>
      </c>
      <c r="F46" s="65">
        <v>0.22</v>
      </c>
      <c r="G46" s="64">
        <f>389.29-379.26</f>
        <v>10.03000000000003</v>
      </c>
      <c r="H46" s="64">
        <v>1500</v>
      </c>
      <c r="I46" s="64">
        <f>302.46-291.21</f>
        <v>11.25</v>
      </c>
      <c r="J46" s="64">
        <v>1500</v>
      </c>
    </row>
    <row r="47" spans="1:10" s="3" customFormat="1" ht="13.8" customHeight="1" x14ac:dyDescent="0.3">
      <c r="A47" s="64">
        <f t="shared" si="4"/>
        <v>-8.8899999999999864</v>
      </c>
      <c r="B47" s="65" t="s">
        <v>189</v>
      </c>
      <c r="C47" s="65">
        <v>46.32</v>
      </c>
      <c r="D47" s="65">
        <v>274.26</v>
      </c>
      <c r="E47" s="65">
        <v>9715.61</v>
      </c>
      <c r="F47" s="65">
        <v>0.24</v>
      </c>
      <c r="G47" s="64">
        <f>414.62-404.28</f>
        <v>10.340000000000032</v>
      </c>
      <c r="H47" s="64">
        <v>1400</v>
      </c>
      <c r="I47" s="64">
        <f>322.47-312.07</f>
        <v>10.400000000000034</v>
      </c>
      <c r="J47" s="64">
        <v>1200</v>
      </c>
    </row>
    <row r="48" spans="1:10" s="3" customFormat="1" ht="13.8" customHeight="1" x14ac:dyDescent="0.3">
      <c r="A48" s="64">
        <f t="shared" si="4"/>
        <v>2.8799999999999955</v>
      </c>
      <c r="B48" s="65" t="s">
        <v>190</v>
      </c>
      <c r="C48" s="65">
        <v>44.7</v>
      </c>
      <c r="D48" s="65">
        <v>286.02999999999997</v>
      </c>
      <c r="E48" s="65">
        <v>8788.5400000000009</v>
      </c>
      <c r="F48" s="65">
        <v>0.24</v>
      </c>
      <c r="G48" s="64">
        <f>425.1-415.48</f>
        <v>9.6200000000000045</v>
      </c>
      <c r="H48" s="64">
        <v>1300</v>
      </c>
      <c r="I48" s="64">
        <f>338.91-329.06</f>
        <v>9.8500000000000227</v>
      </c>
      <c r="J48" s="64">
        <v>900</v>
      </c>
    </row>
    <row r="49" spans="1:10" s="3" customFormat="1" ht="13.8" customHeight="1" thickBot="1" x14ac:dyDescent="0.35">
      <c r="A49" s="93">
        <f t="shared" si="4"/>
        <v>13.120000000000005</v>
      </c>
      <c r="B49" s="94" t="s">
        <v>191</v>
      </c>
      <c r="C49" s="94">
        <v>43.24</v>
      </c>
      <c r="D49" s="94">
        <v>296.27</v>
      </c>
      <c r="E49" s="94">
        <v>8317.0300000000007</v>
      </c>
      <c r="F49" s="94">
        <v>0.26</v>
      </c>
      <c r="G49" s="93">
        <f>446.46-435.76</f>
        <v>10.699999999999989</v>
      </c>
      <c r="H49" s="93">
        <v>1100</v>
      </c>
      <c r="I49" s="93">
        <f>353.13-342.95</f>
        <v>10.180000000000007</v>
      </c>
      <c r="J49" s="93">
        <v>800</v>
      </c>
    </row>
    <row r="50" spans="1:10" ht="15.6" thickTop="1" thickBot="1" x14ac:dyDescent="0.35"/>
    <row r="51" spans="1:10" ht="15.6" customHeight="1" thickTop="1" thickBot="1" x14ac:dyDescent="0.35">
      <c r="A51" s="135" t="s">
        <v>202</v>
      </c>
      <c r="B51" s="136"/>
      <c r="C51" s="136"/>
      <c r="D51" s="136"/>
      <c r="E51" s="136"/>
      <c r="F51" s="136"/>
      <c r="G51" s="136"/>
      <c r="H51" s="136"/>
      <c r="I51" s="136"/>
      <c r="J51" s="136"/>
    </row>
    <row r="52" spans="1:10" ht="42.6" thickTop="1" thickBot="1" x14ac:dyDescent="0.35">
      <c r="A52" s="77" t="s">
        <v>33</v>
      </c>
      <c r="B52" s="77" t="s">
        <v>15</v>
      </c>
      <c r="C52" s="77" t="s">
        <v>22</v>
      </c>
      <c r="D52" s="77" t="s">
        <v>17</v>
      </c>
      <c r="E52" s="77" t="s">
        <v>16</v>
      </c>
      <c r="F52" s="77" t="s">
        <v>28</v>
      </c>
      <c r="G52" s="77" t="s">
        <v>20</v>
      </c>
      <c r="H52" s="77" t="s">
        <v>29</v>
      </c>
      <c r="I52" s="77" t="s">
        <v>21</v>
      </c>
      <c r="J52" s="77" t="s">
        <v>30</v>
      </c>
    </row>
    <row r="53" spans="1:10" ht="15" thickBot="1" x14ac:dyDescent="0.35">
      <c r="A53" s="78">
        <f t="shared" ref="A53:A61" si="5">D53-273.15-10</f>
        <v>20.980000000000018</v>
      </c>
      <c r="B53" s="78" t="s">
        <v>27</v>
      </c>
      <c r="C53" s="78">
        <v>42.9</v>
      </c>
      <c r="D53" s="80">
        <v>304.13</v>
      </c>
      <c r="E53" s="80">
        <v>7474.89</v>
      </c>
      <c r="F53" s="80">
        <v>0.31</v>
      </c>
      <c r="G53" s="82">
        <v>10.17</v>
      </c>
      <c r="H53" s="82">
        <v>900</v>
      </c>
      <c r="I53" s="82">
        <v>11.2</v>
      </c>
      <c r="J53" s="82">
        <v>700</v>
      </c>
    </row>
    <row r="54" spans="1:10" ht="13.8" customHeight="1" x14ac:dyDescent="0.3">
      <c r="A54" s="64">
        <f t="shared" si="5"/>
        <v>-57.279999999999973</v>
      </c>
      <c r="B54" s="64" t="s">
        <v>192</v>
      </c>
      <c r="C54" s="64">
        <v>55.94</v>
      </c>
      <c r="D54" s="65">
        <v>225.87</v>
      </c>
      <c r="E54" s="65">
        <v>4265.3599999999997</v>
      </c>
      <c r="F54" s="65">
        <v>0.21</v>
      </c>
      <c r="G54" s="64">
        <f>450.83-440.9</f>
        <v>9.9300000000000068</v>
      </c>
      <c r="H54" s="64">
        <v>1550</v>
      </c>
      <c r="I54" s="64">
        <f>295.45-285.32</f>
        <v>10.129999999999995</v>
      </c>
      <c r="J54" s="64">
        <v>1500</v>
      </c>
    </row>
    <row r="55" spans="1:10" ht="13.8" customHeight="1" x14ac:dyDescent="0.3">
      <c r="A55" s="64">
        <f t="shared" si="5"/>
        <v>-60.829999999999984</v>
      </c>
      <c r="B55" s="64" t="s">
        <v>193</v>
      </c>
      <c r="C55" s="64">
        <v>56.73</v>
      </c>
      <c r="D55" s="65">
        <v>222.32</v>
      </c>
      <c r="E55" s="65">
        <v>4846.6000000000004</v>
      </c>
      <c r="F55" s="65">
        <v>0.21</v>
      </c>
      <c r="G55" s="64">
        <f>436.41-425.33</f>
        <v>11.080000000000041</v>
      </c>
      <c r="H55" s="64">
        <v>1400</v>
      </c>
      <c r="I55" s="64">
        <f>282.01-272.49</f>
        <v>9.5199999999999818</v>
      </c>
      <c r="J55" s="64">
        <v>1500</v>
      </c>
    </row>
    <row r="56" spans="1:10" ht="13.8" customHeight="1" x14ac:dyDescent="0.3">
      <c r="A56" s="64">
        <f t="shared" si="5"/>
        <v>-64.70999999999998</v>
      </c>
      <c r="B56" s="64" t="s">
        <v>194</v>
      </c>
      <c r="C56" s="64">
        <v>56.67</v>
      </c>
      <c r="D56" s="65">
        <v>218.44</v>
      </c>
      <c r="E56" s="65">
        <v>5271.63</v>
      </c>
      <c r="F56" s="65">
        <v>0.22</v>
      </c>
      <c r="G56" s="64">
        <f>438.29-427.93</f>
        <v>10.360000000000014</v>
      </c>
      <c r="H56" s="64">
        <v>1400</v>
      </c>
      <c r="I56" s="64">
        <f>282.63-271.68</f>
        <v>10.949999999999989</v>
      </c>
      <c r="J56" s="64">
        <v>1500</v>
      </c>
    </row>
    <row r="57" spans="1:10" ht="13.8" customHeight="1" x14ac:dyDescent="0.3">
      <c r="A57" s="64">
        <f t="shared" si="5"/>
        <v>-69.039999999999964</v>
      </c>
      <c r="B57" s="64" t="s">
        <v>195</v>
      </c>
      <c r="C57" s="64">
        <v>56.79</v>
      </c>
      <c r="D57" s="65">
        <v>214.11</v>
      </c>
      <c r="E57" s="65">
        <v>5645.17</v>
      </c>
      <c r="F57" s="65">
        <v>0.215</v>
      </c>
      <c r="G57" s="64">
        <f>441.76-431.46</f>
        <v>10.300000000000011</v>
      </c>
      <c r="H57" s="64">
        <v>1300</v>
      </c>
      <c r="I57" s="64">
        <f>282.11-271.83</f>
        <v>10.28000000000003</v>
      </c>
      <c r="J57" s="64">
        <v>1500</v>
      </c>
    </row>
    <row r="58" spans="1:10" ht="13.8" customHeight="1" x14ac:dyDescent="0.3">
      <c r="A58" s="64">
        <f t="shared" si="5"/>
        <v>-73.95999999999998</v>
      </c>
      <c r="B58" s="64" t="s">
        <v>196</v>
      </c>
      <c r="C58" s="64">
        <v>57.22</v>
      </c>
      <c r="D58" s="65">
        <v>209.19</v>
      </c>
      <c r="E58" s="65">
        <v>6169.03</v>
      </c>
      <c r="F58" s="65">
        <v>0.215</v>
      </c>
      <c r="G58" s="64">
        <f>436.18-425.86</f>
        <v>10.319999999999993</v>
      </c>
      <c r="H58" s="64">
        <v>1200</v>
      </c>
      <c r="I58" s="64">
        <f>276.47-266.73</f>
        <v>9.7400000000000091</v>
      </c>
      <c r="J58" s="64">
        <v>1450</v>
      </c>
    </row>
    <row r="59" spans="1:10" ht="13.8" customHeight="1" x14ac:dyDescent="0.3">
      <c r="A59" s="64">
        <f t="shared" si="5"/>
        <v>-79.769999999999982</v>
      </c>
      <c r="B59" s="64" t="s">
        <v>197</v>
      </c>
      <c r="C59" s="64">
        <v>57.75</v>
      </c>
      <c r="D59" s="65">
        <v>203.38</v>
      </c>
      <c r="E59" s="65">
        <v>6735.39</v>
      </c>
      <c r="F59" s="65">
        <v>0.22</v>
      </c>
      <c r="G59" s="64">
        <f>425.58-415.48</f>
        <v>10.099999999999966</v>
      </c>
      <c r="H59" s="64">
        <v>1100</v>
      </c>
      <c r="I59" s="64">
        <f>269.12-259.48</f>
        <v>9.6399999999999864</v>
      </c>
      <c r="J59" s="64">
        <v>1300</v>
      </c>
    </row>
    <row r="60" spans="1:10" ht="13.8" customHeight="1" x14ac:dyDescent="0.3">
      <c r="A60" s="64">
        <f t="shared" si="5"/>
        <v>-78.509999999999991</v>
      </c>
      <c r="B60" s="64" t="s">
        <v>198</v>
      </c>
      <c r="C60" s="64">
        <v>55.57</v>
      </c>
      <c r="D60" s="65">
        <v>204.64</v>
      </c>
      <c r="E60" s="65">
        <v>7708.56</v>
      </c>
      <c r="F60" s="65">
        <v>0.2</v>
      </c>
      <c r="G60" s="64">
        <f>449.6-438.28</f>
        <v>11.32000000000005</v>
      </c>
      <c r="H60" s="64">
        <v>1000</v>
      </c>
      <c r="I60" s="64">
        <f>282.24-271.89</f>
        <v>10.350000000000023</v>
      </c>
      <c r="J60" s="64">
        <v>1300</v>
      </c>
    </row>
    <row r="61" spans="1:10" ht="13.8" customHeight="1" thickBot="1" x14ac:dyDescent="0.35">
      <c r="A61" s="93">
        <f t="shared" si="5"/>
        <v>-109.43999999999997</v>
      </c>
      <c r="B61" s="93" t="s">
        <v>185</v>
      </c>
      <c r="C61" s="93">
        <v>59.11</v>
      </c>
      <c r="D61" s="94">
        <v>173.71</v>
      </c>
      <c r="E61" s="94">
        <v>5103.13</v>
      </c>
      <c r="F61" s="94">
        <v>0.21</v>
      </c>
      <c r="G61" s="93">
        <f>409.65-399.36</f>
        <v>10.289999999999964</v>
      </c>
      <c r="H61" s="93">
        <v>450</v>
      </c>
      <c r="I61" s="93">
        <f>253.98-243.06</f>
        <v>10.919999999999987</v>
      </c>
      <c r="J61" s="93">
        <v>400</v>
      </c>
    </row>
    <row r="62" spans="1:10" ht="15.6" thickTop="1" thickBot="1" x14ac:dyDescent="0.35">
      <c r="A62" s="48"/>
      <c r="B62" s="44"/>
      <c r="C62" s="48"/>
      <c r="D62" s="49"/>
      <c r="E62" s="49"/>
      <c r="F62" s="49"/>
      <c r="G62" s="48"/>
      <c r="H62" s="48"/>
      <c r="I62" s="48"/>
      <c r="J62" s="48"/>
    </row>
    <row r="63" spans="1:10" ht="15.6" customHeight="1" thickTop="1" thickBot="1" x14ac:dyDescent="0.35">
      <c r="A63" s="135" t="s">
        <v>203</v>
      </c>
      <c r="B63" s="136"/>
      <c r="C63" s="136"/>
      <c r="D63" s="136"/>
      <c r="E63" s="136"/>
      <c r="F63" s="136"/>
      <c r="G63" s="136"/>
      <c r="H63" s="136"/>
      <c r="I63" s="136"/>
      <c r="J63" s="136"/>
    </row>
    <row r="64" spans="1:10" ht="42.6" thickTop="1" thickBot="1" x14ac:dyDescent="0.35">
      <c r="A64" s="11" t="s">
        <v>33</v>
      </c>
      <c r="B64" s="11" t="s">
        <v>15</v>
      </c>
      <c r="C64" s="11" t="s">
        <v>22</v>
      </c>
      <c r="D64" s="11" t="s">
        <v>17</v>
      </c>
      <c r="E64" s="11" t="s">
        <v>16</v>
      </c>
      <c r="F64" s="11" t="s">
        <v>28</v>
      </c>
      <c r="G64" s="11" t="s">
        <v>20</v>
      </c>
      <c r="H64" s="11" t="s">
        <v>29</v>
      </c>
      <c r="I64" s="11" t="s">
        <v>21</v>
      </c>
      <c r="J64" s="11" t="s">
        <v>30</v>
      </c>
    </row>
    <row r="65" spans="1:10" s="3" customFormat="1" ht="15" thickTop="1" x14ac:dyDescent="0.3">
      <c r="A65" s="12">
        <v>20.980000000000018</v>
      </c>
      <c r="B65" s="12" t="s">
        <v>27</v>
      </c>
      <c r="C65" s="12">
        <v>42.9</v>
      </c>
      <c r="D65" s="10">
        <v>304.13</v>
      </c>
      <c r="E65" s="10">
        <v>7474.89</v>
      </c>
      <c r="F65" s="7">
        <v>0.31</v>
      </c>
      <c r="G65" s="6">
        <v>10.17</v>
      </c>
      <c r="H65" s="6">
        <v>900</v>
      </c>
      <c r="I65" s="6">
        <v>11.2</v>
      </c>
      <c r="J65" s="6">
        <v>700</v>
      </c>
    </row>
    <row r="66" spans="1:10" s="3" customFormat="1" ht="16.2" customHeight="1" x14ac:dyDescent="0.3">
      <c r="A66" s="6">
        <f t="shared" ref="A66:A68" si="6">D66-273.15-10</f>
        <v>13.350000000000023</v>
      </c>
      <c r="B66" s="6" t="s">
        <v>45</v>
      </c>
      <c r="C66" s="7">
        <v>43.03</v>
      </c>
      <c r="D66" s="4">
        <v>296.5</v>
      </c>
      <c r="E66" s="4">
        <v>8281.61</v>
      </c>
      <c r="F66" s="4">
        <v>0.26</v>
      </c>
      <c r="G66" s="6">
        <f>351.7-340.73</f>
        <v>10.96999999999997</v>
      </c>
      <c r="H66" s="6">
        <v>1050</v>
      </c>
      <c r="I66" s="6">
        <f>440.13-429.27</f>
        <v>10.860000000000014</v>
      </c>
      <c r="J66" s="6">
        <v>700</v>
      </c>
    </row>
    <row r="67" spans="1:10" s="3" customFormat="1" ht="16.2" customHeight="1" x14ac:dyDescent="0.3">
      <c r="A67" s="6">
        <f t="shared" si="6"/>
        <v>4.1000000000000227</v>
      </c>
      <c r="B67" s="6" t="s">
        <v>46</v>
      </c>
      <c r="C67" s="7">
        <v>44.41</v>
      </c>
      <c r="D67" s="4">
        <v>287.25</v>
      </c>
      <c r="E67" s="4">
        <v>8766.7900000000009</v>
      </c>
      <c r="F67" s="4">
        <v>0.24</v>
      </c>
      <c r="G67" s="6">
        <f>340.76-330.79</f>
        <v>9.9699999999999704</v>
      </c>
      <c r="H67" s="4">
        <v>1200</v>
      </c>
      <c r="I67" s="6">
        <f>429.92-418.93</f>
        <v>10.990000000000009</v>
      </c>
      <c r="J67" s="4">
        <v>850</v>
      </c>
    </row>
    <row r="68" spans="1:10" s="3" customFormat="1" ht="16.2" customHeight="1" x14ac:dyDescent="0.3">
      <c r="A68" s="6">
        <f t="shared" si="6"/>
        <v>-6.1599999999999682</v>
      </c>
      <c r="B68" s="13" t="s">
        <v>47</v>
      </c>
      <c r="C68" s="14">
        <v>45.25</v>
      </c>
      <c r="D68" s="14">
        <v>276.99</v>
      </c>
      <c r="E68" s="14">
        <v>8989.2000000000007</v>
      </c>
      <c r="F68" s="14">
        <v>0.2</v>
      </c>
      <c r="G68" s="8">
        <f>401.41-391.62</f>
        <v>9.7900000000000205</v>
      </c>
      <c r="H68" s="14">
        <v>1300</v>
      </c>
      <c r="I68" s="8">
        <f>330.14-319.96</f>
        <v>10.180000000000007</v>
      </c>
      <c r="J68" s="14">
        <v>700</v>
      </c>
    </row>
    <row r="69" spans="1:10" x14ac:dyDescent="0.3">
      <c r="A69" s="6">
        <f>D69-273.15-10</f>
        <v>-17.70999999999998</v>
      </c>
      <c r="B69" s="6" t="s">
        <v>48</v>
      </c>
      <c r="C69" s="6">
        <v>47.29</v>
      </c>
      <c r="D69" s="6">
        <v>265.44</v>
      </c>
      <c r="E69" s="6">
        <v>9055.31</v>
      </c>
      <c r="F69" s="6">
        <v>0.2</v>
      </c>
      <c r="G69" s="6">
        <f>397.88-387.19</f>
        <v>10.689999999999998</v>
      </c>
      <c r="H69" s="6">
        <v>1350</v>
      </c>
      <c r="I69" s="6">
        <f>316.35-306.4</f>
        <v>9.9500000000000455</v>
      </c>
      <c r="J69" s="6">
        <v>850</v>
      </c>
    </row>
    <row r="70" spans="1:10" ht="15.6" customHeight="1" x14ac:dyDescent="0.3">
      <c r="A70" s="6">
        <f t="shared" ref="A70:A71" si="7">D70-273.15-10</f>
        <v>-30.499999999999972</v>
      </c>
      <c r="B70" s="8" t="s">
        <v>76</v>
      </c>
      <c r="C70" s="31">
        <v>50.53</v>
      </c>
      <c r="D70" s="31">
        <v>252.65</v>
      </c>
      <c r="E70" s="31">
        <v>8692.27</v>
      </c>
      <c r="F70" s="31">
        <v>0.2</v>
      </c>
      <c r="G70" s="8">
        <v>10.4</v>
      </c>
      <c r="H70" s="31">
        <v>1200</v>
      </c>
      <c r="I70" s="8">
        <v>11.5</v>
      </c>
      <c r="J70" s="31">
        <v>800</v>
      </c>
    </row>
    <row r="71" spans="1:10" x14ac:dyDescent="0.3">
      <c r="A71" s="6">
        <f t="shared" si="7"/>
        <v>-44.019999999999982</v>
      </c>
      <c r="B71" s="8" t="s">
        <v>122</v>
      </c>
      <c r="C71" s="31">
        <v>51.41</v>
      </c>
      <c r="D71" s="31">
        <v>239.13</v>
      </c>
      <c r="E71" s="31">
        <v>8027.37</v>
      </c>
      <c r="F71" s="31">
        <v>0.2</v>
      </c>
      <c r="G71" s="8">
        <f>403.85-392.14</f>
        <v>11.710000000000036</v>
      </c>
      <c r="H71" s="31">
        <v>1400</v>
      </c>
      <c r="I71" s="8">
        <f>299.83-289.49</f>
        <v>10.339999999999975</v>
      </c>
      <c r="J71" s="31">
        <v>675</v>
      </c>
    </row>
    <row r="72" spans="1:10" x14ac:dyDescent="0.3">
      <c r="A72" s="6">
        <f>D72-273.15-10</f>
        <v>-56.96999999999997</v>
      </c>
      <c r="B72" s="8" t="s">
        <v>75</v>
      </c>
      <c r="C72" s="31">
        <v>53.94</v>
      </c>
      <c r="D72" s="31">
        <v>226.18</v>
      </c>
      <c r="E72" s="31">
        <v>7111.83</v>
      </c>
      <c r="F72" s="31">
        <v>0.2</v>
      </c>
      <c r="G72" s="8">
        <f>383.8-372.19</f>
        <v>11.610000000000014</v>
      </c>
      <c r="H72" s="31">
        <v>1100</v>
      </c>
      <c r="I72" s="8">
        <f>281.38-271.21</f>
        <v>10.170000000000016</v>
      </c>
      <c r="J72" s="31">
        <v>525</v>
      </c>
    </row>
    <row r="73" spans="1:10" ht="15" thickBot="1" x14ac:dyDescent="0.35">
      <c r="A73" s="6">
        <f>D73-273.15-10</f>
        <v>-69.559999999999974</v>
      </c>
      <c r="B73" s="6" t="s">
        <v>74</v>
      </c>
      <c r="C73" s="14">
        <v>55.11</v>
      </c>
      <c r="D73" s="14">
        <v>213.59</v>
      </c>
      <c r="E73" s="14">
        <v>6335.04</v>
      </c>
      <c r="F73" s="14">
        <v>0.15</v>
      </c>
      <c r="G73" s="8">
        <f>339.8-329.54</f>
        <v>10.259999999999991</v>
      </c>
      <c r="H73" s="14">
        <v>950</v>
      </c>
      <c r="I73" s="8">
        <f>271.03-260.15</f>
        <v>10.879999999999995</v>
      </c>
      <c r="J73" s="14">
        <v>350</v>
      </c>
    </row>
    <row r="74" spans="1:10" ht="13.2" customHeight="1" x14ac:dyDescent="0.3">
      <c r="A74" s="86">
        <f t="shared" ref="A74" si="8">D74-273.15-10</f>
        <v>-113.13999999999999</v>
      </c>
      <c r="B74" s="86" t="s">
        <v>176</v>
      </c>
      <c r="C74" s="86">
        <v>57.39</v>
      </c>
      <c r="D74" s="87">
        <v>170.01</v>
      </c>
      <c r="E74" s="87">
        <v>5288.05</v>
      </c>
      <c r="F74" s="87">
        <v>0.21</v>
      </c>
      <c r="G74" s="86">
        <f>502.68-492.62</f>
        <v>10.060000000000002</v>
      </c>
      <c r="H74" s="86">
        <v>175</v>
      </c>
      <c r="I74" s="86">
        <f>266.01-255.9</f>
        <v>10.109999999999985</v>
      </c>
      <c r="J74" s="86">
        <v>700</v>
      </c>
    </row>
    <row r="75" spans="1:10" ht="13.2" customHeight="1" x14ac:dyDescent="0.3">
      <c r="A75" s="64">
        <f t="shared" ref="A75:A80" si="9">D75-273.15-10</f>
        <v>-97.789999999999964</v>
      </c>
      <c r="B75" s="64" t="s">
        <v>175</v>
      </c>
      <c r="C75" s="65">
        <v>55.33</v>
      </c>
      <c r="D75" s="65">
        <v>185.36</v>
      </c>
      <c r="E75" s="65">
        <v>5439.48</v>
      </c>
      <c r="F75" s="65">
        <v>0.21</v>
      </c>
      <c r="G75" s="64">
        <f>415.96-405.48</f>
        <v>10.479999999999961</v>
      </c>
      <c r="H75" s="65">
        <v>400</v>
      </c>
      <c r="I75" s="64">
        <f>267.2-256.57</f>
        <v>10.629999999999995</v>
      </c>
      <c r="J75" s="65">
        <v>400</v>
      </c>
    </row>
    <row r="76" spans="1:10" ht="13.2" customHeight="1" x14ac:dyDescent="0.3">
      <c r="A76" s="64">
        <f t="shared" si="9"/>
        <v>-82.449999999999989</v>
      </c>
      <c r="B76" s="64" t="s">
        <v>174</v>
      </c>
      <c r="C76" s="65">
        <v>54.46</v>
      </c>
      <c r="D76" s="65">
        <v>200.7</v>
      </c>
      <c r="E76" s="65">
        <v>5790.91</v>
      </c>
      <c r="F76" s="65">
        <v>0.28000000000000003</v>
      </c>
      <c r="G76" s="64">
        <f>462.81-452.31</f>
        <v>10.5</v>
      </c>
      <c r="H76" s="65">
        <v>500</v>
      </c>
      <c r="I76" s="64">
        <f>270.99-259.34</f>
        <v>11.650000000000034</v>
      </c>
      <c r="J76" s="65">
        <v>700</v>
      </c>
    </row>
    <row r="77" spans="1:10" ht="13.2" customHeight="1" x14ac:dyDescent="0.3">
      <c r="A77" s="64">
        <f t="shared" si="9"/>
        <v>-67.099999999999966</v>
      </c>
      <c r="B77" s="64" t="s">
        <v>173</v>
      </c>
      <c r="C77" s="65">
        <v>52.2</v>
      </c>
      <c r="D77" s="65">
        <v>216.05</v>
      </c>
      <c r="E77" s="65">
        <v>5942.34</v>
      </c>
      <c r="F77" s="65">
        <v>0.25</v>
      </c>
      <c r="G77" s="64">
        <f>406.08-395.82</f>
        <v>10.259999999999991</v>
      </c>
      <c r="H77" s="65">
        <v>600</v>
      </c>
      <c r="I77" s="64">
        <f>279.9-268.93</f>
        <v>10.96999999999997</v>
      </c>
      <c r="J77" s="65">
        <v>450</v>
      </c>
    </row>
    <row r="78" spans="1:10" ht="13.2" customHeight="1" x14ac:dyDescent="0.3">
      <c r="A78" s="64">
        <f t="shared" si="9"/>
        <v>-50.949999999999989</v>
      </c>
      <c r="B78" s="64" t="s">
        <v>177</v>
      </c>
      <c r="C78" s="65">
        <v>50.95</v>
      </c>
      <c r="D78" s="65">
        <v>232.2</v>
      </c>
      <c r="E78" s="65">
        <v>13037.74</v>
      </c>
      <c r="F78" s="65">
        <v>0.1</v>
      </c>
      <c r="G78" s="64">
        <f>344.64-333.62</f>
        <v>11.019999999999982</v>
      </c>
      <c r="H78" s="65">
        <v>1600</v>
      </c>
      <c r="I78" s="64">
        <f>264.64-252.56</f>
        <v>12.079999999999984</v>
      </c>
      <c r="J78" s="65">
        <v>2600</v>
      </c>
    </row>
    <row r="79" spans="1:10" ht="13.2" customHeight="1" x14ac:dyDescent="0.3">
      <c r="A79" s="64">
        <f t="shared" si="9"/>
        <v>-39.139999999999986</v>
      </c>
      <c r="B79" s="64" t="s">
        <v>127</v>
      </c>
      <c r="C79" s="65">
        <v>49.81</v>
      </c>
      <c r="D79" s="65">
        <v>244.01</v>
      </c>
      <c r="E79" s="65">
        <v>12657.38</v>
      </c>
      <c r="F79" s="65">
        <v>0.14000000000000001</v>
      </c>
      <c r="G79" s="64">
        <f>357.33-347.32</f>
        <v>10.009999999999991</v>
      </c>
      <c r="H79" s="65">
        <v>1700</v>
      </c>
      <c r="I79" s="64">
        <f>278.27-267.86</f>
        <v>10.409999999999968</v>
      </c>
      <c r="J79" s="65">
        <v>2700</v>
      </c>
    </row>
    <row r="80" spans="1:10" ht="13.2" customHeight="1" x14ac:dyDescent="0.3">
      <c r="A80" s="64">
        <f t="shared" si="9"/>
        <v>-19.979999999999961</v>
      </c>
      <c r="B80" s="64" t="s">
        <v>170</v>
      </c>
      <c r="C80" s="65">
        <v>47.43</v>
      </c>
      <c r="D80" s="65">
        <v>263.17</v>
      </c>
      <c r="E80" s="65">
        <v>11738.61</v>
      </c>
      <c r="F80" s="65">
        <v>0.25</v>
      </c>
      <c r="G80" s="64">
        <f>404.78-393.41</f>
        <v>11.369999999999948</v>
      </c>
      <c r="H80" s="65">
        <v>1600</v>
      </c>
      <c r="I80" s="64">
        <f>306.99-294.9</f>
        <v>12.090000000000032</v>
      </c>
      <c r="J80" s="65">
        <v>2000</v>
      </c>
    </row>
    <row r="81" spans="1:10" ht="13.2" customHeight="1" x14ac:dyDescent="0.3">
      <c r="A81" s="64">
        <f t="shared" ref="A81" si="10">D81-273.15-10</f>
        <v>-6.75</v>
      </c>
      <c r="B81" s="64" t="s">
        <v>171</v>
      </c>
      <c r="C81" s="65">
        <v>45.66</v>
      </c>
      <c r="D81" s="65">
        <v>276.39999999999998</v>
      </c>
      <c r="E81" s="65">
        <v>10574.46</v>
      </c>
      <c r="F81" s="65">
        <v>0.25</v>
      </c>
      <c r="G81" s="64">
        <f>423.88-412.31</f>
        <v>11.569999999999993</v>
      </c>
      <c r="H81" s="65">
        <v>1400</v>
      </c>
      <c r="I81" s="64">
        <f>325.28-314.65</f>
        <v>10.629999999999995</v>
      </c>
      <c r="J81" s="65">
        <v>1400</v>
      </c>
    </row>
    <row r="82" spans="1:10" ht="13.2" customHeight="1" thickBot="1" x14ac:dyDescent="0.35">
      <c r="A82" s="89">
        <f t="shared" ref="A82" si="11">D82-273.15-10</f>
        <v>3.9700000000000273</v>
      </c>
      <c r="B82" s="89" t="s">
        <v>172</v>
      </c>
      <c r="C82" s="90">
        <v>44.3</v>
      </c>
      <c r="D82" s="90">
        <v>287.12</v>
      </c>
      <c r="E82" s="90">
        <v>9453.2900000000009</v>
      </c>
      <c r="F82" s="90">
        <v>0.25</v>
      </c>
      <c r="G82" s="89">
        <f>429.19-419.17</f>
        <v>10.019999999999982</v>
      </c>
      <c r="H82" s="90">
        <v>1300</v>
      </c>
      <c r="I82" s="89">
        <f>339.47-329.69</f>
        <v>9.7800000000000296</v>
      </c>
      <c r="J82" s="90">
        <v>1000</v>
      </c>
    </row>
    <row r="83" spans="1:10" ht="15" thickBot="1" x14ac:dyDescent="0.35">
      <c r="A83" s="5">
        <f>D83-273.15-10</f>
        <v>-81.699999999999989</v>
      </c>
      <c r="B83" s="5" t="s">
        <v>73</v>
      </c>
      <c r="C83" s="53">
        <v>57.9</v>
      </c>
      <c r="D83" s="53">
        <v>201.45</v>
      </c>
      <c r="E83" s="53">
        <v>5461.41</v>
      </c>
      <c r="F83" s="53">
        <v>0.17</v>
      </c>
      <c r="G83" s="44">
        <f>343.16-333.54</f>
        <v>9.6200000000000045</v>
      </c>
      <c r="H83" s="53">
        <v>900</v>
      </c>
      <c r="I83" s="44">
        <f>259.95-249.21</f>
        <v>10.739999999999981</v>
      </c>
      <c r="J83" s="53">
        <v>350</v>
      </c>
    </row>
    <row r="84" spans="1:10" ht="15.6" thickTop="1" thickBot="1" x14ac:dyDescent="0.35">
      <c r="A84" s="92">
        <f>D84-273.15-10</f>
        <v>-92.589999999999975</v>
      </c>
      <c r="B84" s="38" t="s">
        <v>72</v>
      </c>
      <c r="C84" s="5">
        <v>61.09</v>
      </c>
      <c r="D84" s="39">
        <v>190.56</v>
      </c>
      <c r="E84" s="5">
        <v>4799.2</v>
      </c>
      <c r="F84" s="5">
        <v>0.2</v>
      </c>
      <c r="G84" s="5"/>
      <c r="H84" s="5"/>
      <c r="I84" s="5"/>
      <c r="J84" s="5"/>
    </row>
    <row r="85" spans="1:10" ht="15.6" thickTop="1" thickBot="1" x14ac:dyDescent="0.35"/>
    <row r="86" spans="1:10" ht="19.2" thickTop="1" thickBot="1" x14ac:dyDescent="0.35">
      <c r="A86" s="135" t="s">
        <v>204</v>
      </c>
      <c r="B86" s="136"/>
      <c r="C86" s="136"/>
      <c r="D86" s="136"/>
      <c r="E86" s="136"/>
      <c r="F86" s="136"/>
      <c r="G86" s="136"/>
      <c r="H86" s="136"/>
      <c r="I86" s="136"/>
      <c r="J86" s="136"/>
    </row>
    <row r="87" spans="1:10" ht="49.8" customHeight="1" thickTop="1" thickBot="1" x14ac:dyDescent="0.35">
      <c r="A87" s="77" t="s">
        <v>33</v>
      </c>
      <c r="B87" s="77" t="s">
        <v>15</v>
      </c>
      <c r="C87" s="77" t="s">
        <v>22</v>
      </c>
      <c r="D87" s="77" t="s">
        <v>17</v>
      </c>
      <c r="E87" s="77" t="s">
        <v>16</v>
      </c>
      <c r="F87" s="77" t="s">
        <v>28</v>
      </c>
      <c r="G87" s="77" t="s">
        <v>20</v>
      </c>
      <c r="H87" s="77" t="s">
        <v>29</v>
      </c>
      <c r="I87" s="77" t="s">
        <v>21</v>
      </c>
      <c r="J87" s="77" t="s">
        <v>30</v>
      </c>
    </row>
    <row r="88" spans="1:10" ht="15" thickBot="1" x14ac:dyDescent="0.35">
      <c r="A88" s="78">
        <f t="shared" ref="A88:A96" si="12">D88-273.15-10</f>
        <v>20.980000000000018</v>
      </c>
      <c r="B88" s="78" t="s">
        <v>27</v>
      </c>
      <c r="C88" s="78">
        <v>42.9</v>
      </c>
      <c r="D88" s="80">
        <v>304.13</v>
      </c>
      <c r="E88" s="80">
        <v>7474.89</v>
      </c>
      <c r="F88" s="80">
        <v>0.31</v>
      </c>
      <c r="G88" s="82">
        <v>10.17</v>
      </c>
      <c r="H88" s="82">
        <v>900</v>
      </c>
      <c r="I88" s="82">
        <v>11.2</v>
      </c>
      <c r="J88" s="82">
        <v>700</v>
      </c>
    </row>
    <row r="89" spans="1:10" ht="15" customHeight="1" x14ac:dyDescent="0.3">
      <c r="A89" s="86">
        <f t="shared" si="12"/>
        <v>-83.749999999999972</v>
      </c>
      <c r="B89" s="64" t="s">
        <v>178</v>
      </c>
      <c r="C89" s="64">
        <v>59.51</v>
      </c>
      <c r="D89" s="65">
        <v>199.4</v>
      </c>
      <c r="E89" s="65">
        <v>5834.56</v>
      </c>
      <c r="F89" s="65">
        <v>0.25</v>
      </c>
      <c r="G89" s="64">
        <f>421.93-411.02</f>
        <v>10.910000000000025</v>
      </c>
      <c r="H89" s="64">
        <v>1000</v>
      </c>
      <c r="I89" s="64">
        <f>258.64-248.47</f>
        <v>10.169999999999987</v>
      </c>
      <c r="J89" s="64">
        <v>1000</v>
      </c>
    </row>
    <row r="90" spans="1:10" ht="15" customHeight="1" x14ac:dyDescent="0.3">
      <c r="A90" s="64">
        <f t="shared" si="12"/>
        <v>-86.659999999999968</v>
      </c>
      <c r="B90" s="64" t="s">
        <v>179</v>
      </c>
      <c r="C90" s="64">
        <v>59.03</v>
      </c>
      <c r="D90" s="65">
        <v>196.49</v>
      </c>
      <c r="E90" s="65">
        <v>6048.91</v>
      </c>
      <c r="F90" s="65">
        <v>0.25</v>
      </c>
      <c r="G90" s="64">
        <f>430.48-420.08</f>
        <v>10.400000000000034</v>
      </c>
      <c r="H90" s="64">
        <v>1000</v>
      </c>
      <c r="I90" s="64">
        <f>262.58-251.8</f>
        <v>10.779999999999973</v>
      </c>
      <c r="J90" s="64">
        <v>1000</v>
      </c>
    </row>
    <row r="91" spans="1:10" ht="15" customHeight="1" x14ac:dyDescent="0.3">
      <c r="A91" s="64">
        <f t="shared" si="12"/>
        <v>-93.199999999999989</v>
      </c>
      <c r="B91" s="64" t="s">
        <v>180</v>
      </c>
      <c r="C91" s="64">
        <v>58.07</v>
      </c>
      <c r="D91" s="95">
        <v>189.95</v>
      </c>
      <c r="E91" s="65">
        <v>5056.1499999999996</v>
      </c>
      <c r="F91" s="65">
        <v>0.215</v>
      </c>
      <c r="G91" s="64">
        <f>484.07-474.31</f>
        <v>9.7599999999999909</v>
      </c>
      <c r="H91" s="64">
        <v>750</v>
      </c>
      <c r="I91" s="64">
        <f>281.85-271.3</f>
        <v>10.550000000000011</v>
      </c>
      <c r="J91" s="64">
        <v>900</v>
      </c>
    </row>
    <row r="92" spans="1:10" ht="15" customHeight="1" x14ac:dyDescent="0.3">
      <c r="A92" s="64">
        <f t="shared" si="12"/>
        <v>-91.769999999999982</v>
      </c>
      <c r="B92" s="64" t="s">
        <v>181</v>
      </c>
      <c r="C92" s="64">
        <v>59.45</v>
      </c>
      <c r="D92" s="65">
        <v>191.38</v>
      </c>
      <c r="E92" s="65">
        <v>6677.05</v>
      </c>
      <c r="F92" s="65">
        <v>0.24</v>
      </c>
      <c r="G92" s="64">
        <f>401.68-390.41</f>
        <v>11.269999999999982</v>
      </c>
      <c r="H92" s="64">
        <v>850</v>
      </c>
      <c r="I92" s="64">
        <f>251.99-241.61</f>
        <v>10.379999999999995</v>
      </c>
      <c r="J92" s="64">
        <v>750</v>
      </c>
    </row>
    <row r="93" spans="1:10" ht="15" customHeight="1" x14ac:dyDescent="0.3">
      <c r="A93" s="64">
        <f t="shared" si="12"/>
        <v>-95.029999999999973</v>
      </c>
      <c r="B93" s="64" t="s">
        <v>182</v>
      </c>
      <c r="C93" s="64">
        <v>59.67</v>
      </c>
      <c r="D93" s="65">
        <v>188.12</v>
      </c>
      <c r="E93" s="65">
        <v>6930.26</v>
      </c>
      <c r="F93" s="65">
        <v>0.24</v>
      </c>
      <c r="G93" s="64">
        <f>389.99-379.1</f>
        <v>10.889999999999986</v>
      </c>
      <c r="H93" s="64">
        <v>800</v>
      </c>
      <c r="I93" s="64">
        <f>247.08-236.83</f>
        <v>10.25</v>
      </c>
      <c r="J93" s="64">
        <v>700</v>
      </c>
    </row>
    <row r="94" spans="1:10" ht="15" customHeight="1" x14ac:dyDescent="0.3">
      <c r="A94" s="64">
        <f t="shared" si="12"/>
        <v>-105.15999999999997</v>
      </c>
      <c r="B94" s="64" t="s">
        <v>183</v>
      </c>
      <c r="C94" s="64">
        <v>57.71</v>
      </c>
      <c r="D94" s="65">
        <v>177.99</v>
      </c>
      <c r="E94" s="65">
        <v>5235.29</v>
      </c>
      <c r="F94" s="65">
        <v>0.2</v>
      </c>
      <c r="G94" s="64">
        <f>485.98-475.8</f>
        <v>10.180000000000007</v>
      </c>
      <c r="H94" s="64">
        <v>450</v>
      </c>
      <c r="I94" s="64">
        <f>275.84-265.66</f>
        <v>10.17999999999995</v>
      </c>
      <c r="J94" s="64">
        <v>700</v>
      </c>
    </row>
    <row r="95" spans="1:10" ht="15" customHeight="1" x14ac:dyDescent="0.3">
      <c r="A95" s="64">
        <f t="shared" si="12"/>
        <v>-109.14999999999998</v>
      </c>
      <c r="B95" s="64" t="s">
        <v>184</v>
      </c>
      <c r="C95" s="64">
        <v>57.47</v>
      </c>
      <c r="D95" s="65">
        <v>174</v>
      </c>
      <c r="E95" s="65">
        <v>5161.67</v>
      </c>
      <c r="F95" s="65">
        <v>0.2</v>
      </c>
      <c r="G95" s="64">
        <f>498.47-488.52</f>
        <v>9.9500000000000455</v>
      </c>
      <c r="H95" s="64">
        <v>300</v>
      </c>
      <c r="I95" s="64">
        <f>273-263.09</f>
        <v>9.910000000000025</v>
      </c>
      <c r="J95" s="64">
        <v>700</v>
      </c>
    </row>
    <row r="96" spans="1:10" ht="15" customHeight="1" thickBot="1" x14ac:dyDescent="0.35">
      <c r="A96" s="93">
        <f t="shared" si="12"/>
        <v>-113.13999999999999</v>
      </c>
      <c r="B96" s="93" t="s">
        <v>176</v>
      </c>
      <c r="C96" s="93">
        <v>57.39</v>
      </c>
      <c r="D96" s="94">
        <v>170.01</v>
      </c>
      <c r="E96" s="94">
        <v>5288.05</v>
      </c>
      <c r="F96" s="94">
        <v>0.21</v>
      </c>
      <c r="G96" s="93">
        <f>502.68-492.62</f>
        <v>10.060000000000002</v>
      </c>
      <c r="H96" s="93">
        <v>175</v>
      </c>
      <c r="I96" s="93">
        <f>266.01-255.9</f>
        <v>10.109999999999985</v>
      </c>
      <c r="J96" s="93">
        <v>700</v>
      </c>
    </row>
    <row r="97" spans="1:10" ht="15.6" thickTop="1" thickBot="1" x14ac:dyDescent="0.35">
      <c r="A97" s="48"/>
      <c r="B97" s="48"/>
      <c r="C97" s="48"/>
      <c r="D97" s="49"/>
      <c r="E97" s="49"/>
      <c r="F97" s="49"/>
      <c r="G97" s="48"/>
      <c r="H97" s="48"/>
      <c r="I97" s="48"/>
      <c r="J97" s="48"/>
    </row>
    <row r="98" spans="1:10" ht="19.2" thickTop="1" thickBot="1" x14ac:dyDescent="0.35">
      <c r="A98" s="135" t="s">
        <v>205</v>
      </c>
      <c r="B98" s="136"/>
      <c r="C98" s="136"/>
      <c r="D98" s="136"/>
      <c r="E98" s="136"/>
      <c r="F98" s="136"/>
      <c r="G98" s="136"/>
      <c r="H98" s="136"/>
      <c r="I98" s="136"/>
      <c r="J98" s="136"/>
    </row>
    <row r="99" spans="1:10" ht="42.6" thickTop="1" thickBot="1" x14ac:dyDescent="0.35">
      <c r="A99" s="11" t="s">
        <v>33</v>
      </c>
      <c r="B99" s="11" t="s">
        <v>15</v>
      </c>
      <c r="C99" s="11" t="s">
        <v>22</v>
      </c>
      <c r="D99" s="11" t="s">
        <v>17</v>
      </c>
      <c r="E99" s="11" t="s">
        <v>16</v>
      </c>
      <c r="F99" s="11" t="s">
        <v>28</v>
      </c>
      <c r="G99" s="11" t="s">
        <v>20</v>
      </c>
      <c r="H99" s="11" t="s">
        <v>29</v>
      </c>
      <c r="I99" s="11" t="s">
        <v>21</v>
      </c>
      <c r="J99" s="11" t="s">
        <v>30</v>
      </c>
    </row>
    <row r="100" spans="1:10" ht="15" thickTop="1" x14ac:dyDescent="0.3">
      <c r="A100" s="12">
        <v>20.980000000000018</v>
      </c>
      <c r="B100" s="12" t="s">
        <v>27</v>
      </c>
      <c r="C100" s="12">
        <v>42.9</v>
      </c>
      <c r="D100" s="10">
        <v>304.13</v>
      </c>
      <c r="E100" s="10">
        <v>7474.89</v>
      </c>
      <c r="F100" s="7">
        <v>0.31</v>
      </c>
      <c r="G100" s="6">
        <v>10.17</v>
      </c>
      <c r="H100" s="6">
        <v>900</v>
      </c>
      <c r="I100" s="6">
        <v>11.2</v>
      </c>
      <c r="J100" s="6">
        <v>700</v>
      </c>
    </row>
    <row r="101" spans="1:10" x14ac:dyDescent="0.3">
      <c r="A101" s="6">
        <f>D101-273.15-10</f>
        <v>12.850000000000023</v>
      </c>
      <c r="B101" s="6" t="s">
        <v>42</v>
      </c>
      <c r="C101" s="7">
        <v>42.72</v>
      </c>
      <c r="D101" s="4">
        <v>296</v>
      </c>
      <c r="E101" s="4">
        <v>7953.13</v>
      </c>
      <c r="F101" s="4">
        <v>0.25</v>
      </c>
      <c r="G101" s="6">
        <f>426.55-416.77</f>
        <v>9.7800000000000296</v>
      </c>
      <c r="H101" s="6">
        <v>900</v>
      </c>
      <c r="I101" s="6">
        <f>349.09-338.03</f>
        <v>11.060000000000002</v>
      </c>
      <c r="J101" s="6">
        <v>550</v>
      </c>
    </row>
    <row r="102" spans="1:10" x14ac:dyDescent="0.3">
      <c r="A102" s="6">
        <f t="shared" ref="A102:A134" si="13">D102-273.15-10</f>
        <v>3.4900000000000091</v>
      </c>
      <c r="B102" s="6" t="s">
        <v>58</v>
      </c>
      <c r="C102" s="7">
        <v>43.73</v>
      </c>
      <c r="D102" s="4">
        <v>286.64</v>
      </c>
      <c r="E102" s="4">
        <v>7971.48</v>
      </c>
      <c r="F102" s="4">
        <v>0.23</v>
      </c>
      <c r="G102" s="15">
        <f>418.04-407.11</f>
        <v>10.930000000000007</v>
      </c>
      <c r="H102" s="4">
        <v>800</v>
      </c>
      <c r="I102" s="6">
        <f>339.58-329.09</f>
        <v>10.490000000000009</v>
      </c>
      <c r="J102" s="4">
        <v>550</v>
      </c>
    </row>
    <row r="103" spans="1:10" x14ac:dyDescent="0.3">
      <c r="A103" s="6">
        <f t="shared" si="13"/>
        <v>-6.3700000000000045</v>
      </c>
      <c r="B103" s="6" t="s">
        <v>59</v>
      </c>
      <c r="C103" s="7">
        <v>45.41</v>
      </c>
      <c r="D103" s="4">
        <v>276.77999999999997</v>
      </c>
      <c r="E103" s="4">
        <v>7806.3</v>
      </c>
      <c r="F103" s="4">
        <v>0.24</v>
      </c>
      <c r="G103" s="15">
        <f>413.34-403.28</f>
        <v>10.060000000000002</v>
      </c>
      <c r="H103" s="4">
        <v>750</v>
      </c>
      <c r="I103" s="6">
        <f>327.48-317.49</f>
        <v>9.9900000000000091</v>
      </c>
      <c r="J103" s="4">
        <v>600</v>
      </c>
    </row>
    <row r="104" spans="1:10" x14ac:dyDescent="0.3">
      <c r="A104" s="6">
        <f t="shared" si="13"/>
        <v>-15.899999999999977</v>
      </c>
      <c r="B104" s="6" t="s">
        <v>60</v>
      </c>
      <c r="C104" s="6">
        <v>47.12</v>
      </c>
      <c r="D104" s="6">
        <v>267.25</v>
      </c>
      <c r="E104" s="6">
        <v>7493.5</v>
      </c>
      <c r="F104" s="6">
        <v>0.27</v>
      </c>
      <c r="G104" s="6">
        <f>423.63-413.88</f>
        <v>9.75</v>
      </c>
      <c r="H104" s="6">
        <v>700</v>
      </c>
      <c r="I104" s="6">
        <f>318.36-307.98</f>
        <v>10.379999999999995</v>
      </c>
      <c r="J104" s="6">
        <v>750</v>
      </c>
    </row>
    <row r="105" spans="1:10" x14ac:dyDescent="0.3">
      <c r="A105" s="6">
        <f t="shared" si="13"/>
        <v>-24.549999999999955</v>
      </c>
      <c r="B105" s="6" t="s">
        <v>93</v>
      </c>
      <c r="C105" s="7">
        <v>47.82</v>
      </c>
      <c r="D105" s="4">
        <v>258.60000000000002</v>
      </c>
      <c r="E105" s="4">
        <v>7237.87</v>
      </c>
      <c r="F105" s="4">
        <v>0.25</v>
      </c>
      <c r="G105" s="15">
        <f>411.4-401.45</f>
        <v>9.9499999999999886</v>
      </c>
      <c r="H105" s="4">
        <v>600</v>
      </c>
      <c r="I105" s="6">
        <f>310.5-300.37</f>
        <v>10.129999999999995</v>
      </c>
      <c r="J105" s="4">
        <v>550</v>
      </c>
    </row>
    <row r="106" spans="1:10" x14ac:dyDescent="0.3">
      <c r="A106" s="6">
        <f t="shared" si="13"/>
        <v>-32.759999999999991</v>
      </c>
      <c r="B106" s="6" t="s">
        <v>94</v>
      </c>
      <c r="C106" s="7">
        <v>48.07</v>
      </c>
      <c r="D106" s="4">
        <v>250.39</v>
      </c>
      <c r="E106" s="4">
        <v>7024.97</v>
      </c>
      <c r="F106" s="4">
        <v>0.22</v>
      </c>
      <c r="G106" s="15">
        <f>394.83-384.19</f>
        <v>10.639999999999986</v>
      </c>
      <c r="H106" s="4">
        <v>500</v>
      </c>
      <c r="I106" s="6">
        <f>304.62-294.01</f>
        <v>10.610000000000014</v>
      </c>
      <c r="J106" s="4">
        <v>425</v>
      </c>
    </row>
    <row r="107" spans="1:10" x14ac:dyDescent="0.3">
      <c r="A107" s="6">
        <f t="shared" si="13"/>
        <v>-39.919999999999987</v>
      </c>
      <c r="B107" s="6" t="s">
        <v>95</v>
      </c>
      <c r="C107" s="7">
        <v>48.71</v>
      </c>
      <c r="D107" s="4">
        <v>243.23</v>
      </c>
      <c r="E107" s="4">
        <v>6908.85</v>
      </c>
      <c r="F107" s="4">
        <v>0.22</v>
      </c>
      <c r="G107" s="15">
        <f>405.65-394.76</f>
        <v>10.889999999999986</v>
      </c>
      <c r="H107" s="4">
        <v>450</v>
      </c>
      <c r="I107" s="6">
        <f>303.64-293.55</f>
        <v>10.089999999999975</v>
      </c>
      <c r="J107" s="4">
        <v>425</v>
      </c>
    </row>
    <row r="108" spans="1:10" x14ac:dyDescent="0.3">
      <c r="A108" s="8">
        <f t="shared" si="13"/>
        <v>-47.929999999999978</v>
      </c>
      <c r="B108" s="8" t="s">
        <v>96</v>
      </c>
      <c r="C108" s="31">
        <v>49.03</v>
      </c>
      <c r="D108" s="14">
        <v>235.22</v>
      </c>
      <c r="E108" s="14">
        <v>6845.67</v>
      </c>
      <c r="F108" s="14">
        <v>0.2</v>
      </c>
      <c r="G108" s="43">
        <f>397.91-387.02</f>
        <v>10.890000000000043</v>
      </c>
      <c r="H108" s="14">
        <v>400</v>
      </c>
      <c r="I108" s="8">
        <f>299.96-290</f>
        <v>9.9599999999999795</v>
      </c>
      <c r="J108" s="14">
        <v>375</v>
      </c>
    </row>
    <row r="109" spans="1:10" ht="15" thickBot="1" x14ac:dyDescent="0.35">
      <c r="A109" s="6">
        <f t="shared" ref="A109:A118" si="14">D109-273.15-10</f>
        <v>-58.269999999999982</v>
      </c>
      <c r="B109" s="6" t="s">
        <v>97</v>
      </c>
      <c r="C109" s="7">
        <v>49.88</v>
      </c>
      <c r="D109" s="4">
        <v>224.88</v>
      </c>
      <c r="E109" s="14">
        <v>6588.89</v>
      </c>
      <c r="F109" s="4">
        <v>0.2</v>
      </c>
      <c r="G109" s="15">
        <f>395.78-385.68</f>
        <v>10.099999999999966</v>
      </c>
      <c r="H109" s="4">
        <v>350</v>
      </c>
      <c r="I109" s="6">
        <f>291.73-281.76</f>
        <v>9.9700000000000273</v>
      </c>
      <c r="J109" s="4">
        <v>350</v>
      </c>
    </row>
    <row r="110" spans="1:10" x14ac:dyDescent="0.3">
      <c r="A110" s="86">
        <f t="shared" si="14"/>
        <v>-61.46999999999997</v>
      </c>
      <c r="B110" s="86" t="s">
        <v>268</v>
      </c>
      <c r="C110" s="87">
        <v>50.73</v>
      </c>
      <c r="D110" s="87">
        <v>221.68</v>
      </c>
      <c r="E110" s="87">
        <v>7044.6</v>
      </c>
      <c r="F110" s="87">
        <v>0.23</v>
      </c>
      <c r="G110" s="88">
        <f>435.84-424.48</f>
        <v>11.359999999999957</v>
      </c>
      <c r="H110" s="87">
        <v>350</v>
      </c>
      <c r="I110" s="86">
        <f>292.45-282.57</f>
        <v>9.8799999999999955</v>
      </c>
      <c r="J110" s="87">
        <v>500</v>
      </c>
    </row>
    <row r="111" spans="1:10" x14ac:dyDescent="0.3">
      <c r="A111" s="64">
        <f t="shared" si="14"/>
        <v>-65.429999999999978</v>
      </c>
      <c r="B111" s="64" t="s">
        <v>269</v>
      </c>
      <c r="C111" s="65">
        <v>51.68</v>
      </c>
      <c r="D111" s="66">
        <v>217.72</v>
      </c>
      <c r="E111" s="66">
        <v>7518.9</v>
      </c>
      <c r="F111" s="66">
        <v>0.23</v>
      </c>
      <c r="G111" s="67">
        <f>425.97-414.25</f>
        <v>11.720000000000027</v>
      </c>
      <c r="H111" s="66">
        <v>400</v>
      </c>
      <c r="I111" s="64">
        <f>285.46-275.72</f>
        <v>9.7399999999999523</v>
      </c>
      <c r="J111" s="66">
        <v>550</v>
      </c>
    </row>
    <row r="112" spans="1:10" x14ac:dyDescent="0.3">
      <c r="A112" s="64">
        <f t="shared" si="14"/>
        <v>-70.079999999999984</v>
      </c>
      <c r="B112" s="64" t="s">
        <v>270</v>
      </c>
      <c r="C112" s="65">
        <v>52.59</v>
      </c>
      <c r="D112" s="66">
        <v>213.07</v>
      </c>
      <c r="E112" s="66">
        <v>7909.1</v>
      </c>
      <c r="F112" s="66">
        <v>0.23</v>
      </c>
      <c r="G112" s="67">
        <f>406.56-395.79</f>
        <v>10.769999999999982</v>
      </c>
      <c r="H112" s="66">
        <v>475</v>
      </c>
      <c r="I112" s="64">
        <f>277.91-267.72</f>
        <v>10.189999999999998</v>
      </c>
      <c r="J112" s="66">
        <v>550</v>
      </c>
    </row>
    <row r="113" spans="1:10" x14ac:dyDescent="0.3">
      <c r="A113" s="64">
        <f t="shared" si="14"/>
        <v>-75.419999999999987</v>
      </c>
      <c r="B113" s="64" t="s">
        <v>271</v>
      </c>
      <c r="C113" s="65">
        <v>53.71</v>
      </c>
      <c r="D113" s="66">
        <v>207.73</v>
      </c>
      <c r="E113" s="66">
        <v>8300.2000000000007</v>
      </c>
      <c r="F113" s="66">
        <v>0.23</v>
      </c>
      <c r="G113" s="67">
        <f>383.27-373.48</f>
        <v>9.7899999999999636</v>
      </c>
      <c r="H113" s="66">
        <v>550</v>
      </c>
      <c r="I113" s="64">
        <f>267.76-257.4</f>
        <v>10.360000000000014</v>
      </c>
      <c r="J113" s="66">
        <v>550</v>
      </c>
    </row>
    <row r="114" spans="1:10" x14ac:dyDescent="0.3">
      <c r="A114" s="64">
        <f t="shared" si="14"/>
        <v>-81.449999999999989</v>
      </c>
      <c r="B114" s="64" t="s">
        <v>151</v>
      </c>
      <c r="C114" s="65">
        <v>54.94</v>
      </c>
      <c r="D114" s="66">
        <v>201.7</v>
      </c>
      <c r="E114" s="66">
        <v>8368.6</v>
      </c>
      <c r="F114" s="66">
        <v>0.23</v>
      </c>
      <c r="G114" s="67">
        <f>378.71-368.42</f>
        <v>10.289999999999964</v>
      </c>
      <c r="H114" s="66">
        <v>550</v>
      </c>
      <c r="I114" s="64">
        <f>259.59-249.94</f>
        <v>9.6499999999999773</v>
      </c>
      <c r="J114" s="66">
        <v>600</v>
      </c>
    </row>
    <row r="115" spans="1:10" x14ac:dyDescent="0.3">
      <c r="A115" s="64">
        <f t="shared" si="14"/>
        <v>-88.099999999999966</v>
      </c>
      <c r="B115" s="64" t="s">
        <v>272</v>
      </c>
      <c r="C115" s="65">
        <v>56.19</v>
      </c>
      <c r="D115" s="66">
        <v>195.05</v>
      </c>
      <c r="E115" s="66">
        <v>8489.7999999999993</v>
      </c>
      <c r="F115" s="66">
        <v>0.23</v>
      </c>
      <c r="G115" s="67">
        <f>361.02-351.09</f>
        <v>9.9300000000000068</v>
      </c>
      <c r="H115" s="66">
        <v>575</v>
      </c>
      <c r="I115" s="64">
        <f>249.08-239.45</f>
        <v>9.6300000000000239</v>
      </c>
      <c r="J115" s="66">
        <v>600</v>
      </c>
    </row>
    <row r="116" spans="1:10" x14ac:dyDescent="0.3">
      <c r="A116" s="64">
        <f t="shared" si="14"/>
        <v>-95.289999999999964</v>
      </c>
      <c r="B116" s="64" t="s">
        <v>273</v>
      </c>
      <c r="C116" s="65">
        <v>57.43</v>
      </c>
      <c r="D116" s="66">
        <v>187.86</v>
      </c>
      <c r="E116" s="66">
        <v>8347.7000000000007</v>
      </c>
      <c r="F116" s="66">
        <v>0.23</v>
      </c>
      <c r="G116" s="67">
        <f>348.57-338.84</f>
        <v>9.7300000000000182</v>
      </c>
      <c r="H116" s="66">
        <v>575</v>
      </c>
      <c r="I116" s="64">
        <f>239.9-230.34</f>
        <v>9.5600000000000023</v>
      </c>
      <c r="J116" s="66">
        <v>575</v>
      </c>
    </row>
    <row r="117" spans="1:10" x14ac:dyDescent="0.3">
      <c r="A117" s="64">
        <f t="shared" si="14"/>
        <v>-111.23999999999998</v>
      </c>
      <c r="B117" s="64" t="s">
        <v>274</v>
      </c>
      <c r="C117" s="130">
        <v>55.41</v>
      </c>
      <c r="D117" s="131">
        <v>171.91</v>
      </c>
      <c r="E117" s="131">
        <v>5380.63</v>
      </c>
      <c r="F117" s="131">
        <v>0.17</v>
      </c>
      <c r="G117" s="130">
        <v>10.85</v>
      </c>
      <c r="H117" s="130">
        <v>300</v>
      </c>
      <c r="I117" s="130">
        <v>11.88</v>
      </c>
      <c r="J117" s="130">
        <v>300</v>
      </c>
    </row>
    <row r="118" spans="1:10" ht="15" thickBot="1" x14ac:dyDescent="0.35">
      <c r="A118" s="64">
        <f t="shared" si="14"/>
        <v>-114.17999999999998</v>
      </c>
      <c r="B118" s="64" t="s">
        <v>275</v>
      </c>
      <c r="C118" s="132">
        <v>56.3</v>
      </c>
      <c r="D118" s="133">
        <v>168.97</v>
      </c>
      <c r="E118" s="133">
        <v>5347.5</v>
      </c>
      <c r="F118" s="133">
        <v>0.2</v>
      </c>
      <c r="G118" s="132">
        <v>10.44</v>
      </c>
      <c r="H118" s="132">
        <v>200</v>
      </c>
      <c r="I118" s="132">
        <v>11.15</v>
      </c>
      <c r="J118" s="132">
        <v>450</v>
      </c>
    </row>
    <row r="119" spans="1:10" ht="15" thickTop="1" x14ac:dyDescent="0.3">
      <c r="A119" s="86">
        <f t="shared" si="13"/>
        <v>-81.449999999999989</v>
      </c>
      <c r="B119" s="86" t="s">
        <v>151</v>
      </c>
      <c r="C119" s="87">
        <v>55.23</v>
      </c>
      <c r="D119" s="87">
        <v>201.7</v>
      </c>
      <c r="E119" s="87">
        <v>8368.68</v>
      </c>
      <c r="F119" s="87">
        <v>0.25</v>
      </c>
      <c r="G119" s="88">
        <f>395.3-385.1</f>
        <v>10.199999999999989</v>
      </c>
      <c r="H119" s="87">
        <v>550</v>
      </c>
      <c r="I119" s="86">
        <f>259.99-249.94</f>
        <v>10.050000000000011</v>
      </c>
      <c r="J119" s="87">
        <v>700</v>
      </c>
    </row>
    <row r="120" spans="1:10" x14ac:dyDescent="0.3">
      <c r="A120" s="64">
        <f t="shared" si="13"/>
        <v>-63.799999999999983</v>
      </c>
      <c r="B120" s="64" t="s">
        <v>150</v>
      </c>
      <c r="C120" s="65">
        <v>52.91</v>
      </c>
      <c r="D120" s="65">
        <v>219.35</v>
      </c>
      <c r="E120" s="65">
        <v>9261.73</v>
      </c>
      <c r="F120" s="65">
        <v>0.25</v>
      </c>
      <c r="G120" s="67">
        <f>394.97-384.22</f>
        <v>10.75</v>
      </c>
      <c r="H120" s="65">
        <v>700</v>
      </c>
      <c r="I120" s="64">
        <f>274.78-263.89</f>
        <v>10.889999999999986</v>
      </c>
      <c r="J120" s="65">
        <v>800</v>
      </c>
    </row>
    <row r="121" spans="1:10" x14ac:dyDescent="0.3">
      <c r="A121" s="64">
        <f t="shared" si="13"/>
        <v>-55.899999999999977</v>
      </c>
      <c r="B121" s="64" t="s">
        <v>153</v>
      </c>
      <c r="C121" s="65">
        <v>52.01</v>
      </c>
      <c r="D121" s="65">
        <v>227.25</v>
      </c>
      <c r="E121" s="65">
        <v>9408.89</v>
      </c>
      <c r="F121" s="65">
        <v>0.25</v>
      </c>
      <c r="G121" s="67">
        <f>401.31-390.55</f>
        <v>10.759999999999991</v>
      </c>
      <c r="H121" s="65">
        <v>750</v>
      </c>
      <c r="I121" s="64">
        <f>281.9-271.52</f>
        <v>10.379999999999995</v>
      </c>
      <c r="J121" s="65">
        <v>900</v>
      </c>
    </row>
    <row r="122" spans="1:10" x14ac:dyDescent="0.3">
      <c r="A122" s="64">
        <f t="shared" si="13"/>
        <v>-48.629999999999967</v>
      </c>
      <c r="B122" s="64" t="s">
        <v>126</v>
      </c>
      <c r="C122" s="65">
        <v>50.77</v>
      </c>
      <c r="D122" s="65">
        <v>234.52</v>
      </c>
      <c r="E122" s="65">
        <v>9291.4</v>
      </c>
      <c r="F122" s="65">
        <v>0.25</v>
      </c>
      <c r="G122" s="67">
        <f>402.99-393.07</f>
        <v>9.9200000000000159</v>
      </c>
      <c r="H122" s="65">
        <v>800</v>
      </c>
      <c r="I122" s="64">
        <f>291.3-280.3</f>
        <v>11</v>
      </c>
      <c r="J122" s="65">
        <v>800</v>
      </c>
    </row>
    <row r="123" spans="1:10" x14ac:dyDescent="0.3">
      <c r="A123" s="64">
        <f t="shared" si="13"/>
        <v>-35.889999999999986</v>
      </c>
      <c r="B123" s="64" t="s">
        <v>139</v>
      </c>
      <c r="C123" s="65">
        <v>49.16</v>
      </c>
      <c r="D123" s="65">
        <v>247.26</v>
      </c>
      <c r="E123" s="65">
        <v>9000.91</v>
      </c>
      <c r="F123" s="65">
        <v>0.25</v>
      </c>
      <c r="G123" s="67">
        <f>413.38-402.93</f>
        <v>10.449999999999989</v>
      </c>
      <c r="H123" s="65">
        <v>800</v>
      </c>
      <c r="I123" s="64">
        <f>303.68-293.06</f>
        <v>10.620000000000005</v>
      </c>
      <c r="J123" s="65">
        <v>800</v>
      </c>
    </row>
    <row r="124" spans="1:10" x14ac:dyDescent="0.3">
      <c r="A124" s="64">
        <f t="shared" si="13"/>
        <v>-24.899999999999977</v>
      </c>
      <c r="B124" s="64" t="s">
        <v>140</v>
      </c>
      <c r="C124" s="65">
        <v>47.7</v>
      </c>
      <c r="D124" s="65">
        <v>258.25</v>
      </c>
      <c r="E124" s="65">
        <v>8298.6299999999992</v>
      </c>
      <c r="F124" s="65">
        <v>0.25</v>
      </c>
      <c r="G124" s="67">
        <f>422.22-411.67</f>
        <v>10.550000000000011</v>
      </c>
      <c r="H124" s="65">
        <v>750</v>
      </c>
      <c r="I124" s="64">
        <f>315.67-305.32</f>
        <v>10.350000000000023</v>
      </c>
      <c r="J124" s="65">
        <v>700</v>
      </c>
    </row>
    <row r="125" spans="1:10" ht="15" thickBot="1" x14ac:dyDescent="0.35">
      <c r="A125" s="89">
        <f t="shared" si="13"/>
        <v>-20.269999999999982</v>
      </c>
      <c r="B125" s="89" t="s">
        <v>152</v>
      </c>
      <c r="C125" s="90">
        <v>47.28</v>
      </c>
      <c r="D125" s="90">
        <v>262.88</v>
      </c>
      <c r="E125" s="90">
        <v>7858.15</v>
      </c>
      <c r="F125" s="90">
        <v>0.25</v>
      </c>
      <c r="G125" s="91">
        <f>423.03-412.36</f>
        <v>10.669999999999959</v>
      </c>
      <c r="H125" s="90">
        <v>700</v>
      </c>
      <c r="I125" s="89">
        <f>319.18-308.93</f>
        <v>10.25</v>
      </c>
      <c r="J125" s="90">
        <v>650</v>
      </c>
    </row>
    <row r="126" spans="1:10" x14ac:dyDescent="0.3">
      <c r="A126" s="86">
        <f t="shared" si="13"/>
        <v>-95.899999999999977</v>
      </c>
      <c r="B126" s="86" t="s">
        <v>159</v>
      </c>
      <c r="C126" s="87">
        <v>53.22</v>
      </c>
      <c r="D126" s="87">
        <v>187.25</v>
      </c>
      <c r="E126" s="87">
        <v>5532.06</v>
      </c>
      <c r="F126" s="87">
        <v>0.15</v>
      </c>
      <c r="G126" s="88">
        <f>353.66-342.75</f>
        <v>10.910000000000025</v>
      </c>
      <c r="H126" s="87">
        <v>375</v>
      </c>
      <c r="I126" s="86">
        <f>271.23-260.1</f>
        <v>11.129999999999995</v>
      </c>
      <c r="J126" s="87">
        <v>225</v>
      </c>
    </row>
    <row r="127" spans="1:10" x14ac:dyDescent="0.3">
      <c r="A127" s="64">
        <f t="shared" si="13"/>
        <v>-80.559999999999974</v>
      </c>
      <c r="B127" s="64" t="s">
        <v>160</v>
      </c>
      <c r="C127" s="65">
        <v>52.95</v>
      </c>
      <c r="D127" s="65">
        <v>202.59</v>
      </c>
      <c r="E127" s="65">
        <v>5883.49</v>
      </c>
      <c r="F127" s="65">
        <v>0.25</v>
      </c>
      <c r="G127" s="67">
        <f>423.3-412.54</f>
        <v>10.759999999999991</v>
      </c>
      <c r="H127" s="65">
        <v>450</v>
      </c>
      <c r="I127" s="64">
        <f>273.37-262.33</f>
        <v>11.04000000000002</v>
      </c>
      <c r="J127" s="65">
        <v>450</v>
      </c>
    </row>
    <row r="128" spans="1:10" x14ac:dyDescent="0.3">
      <c r="A128" s="64">
        <f t="shared" si="13"/>
        <v>-57.779999999999973</v>
      </c>
      <c r="B128" s="64" t="s">
        <v>161</v>
      </c>
      <c r="C128" s="65">
        <v>52.45</v>
      </c>
      <c r="D128" s="65">
        <v>225.37</v>
      </c>
      <c r="E128" s="65">
        <v>12815.23</v>
      </c>
      <c r="F128" s="65">
        <v>0.1</v>
      </c>
      <c r="G128" s="67">
        <f>336.49-326.84</f>
        <v>9.6500000000000341</v>
      </c>
      <c r="H128" s="65">
        <v>1400</v>
      </c>
      <c r="I128" s="64">
        <f>256.9-245.81</f>
        <v>11.089999999999975</v>
      </c>
      <c r="J128" s="65">
        <v>3250</v>
      </c>
    </row>
    <row r="129" spans="1:10" x14ac:dyDescent="0.3">
      <c r="A129" s="64">
        <f t="shared" si="13"/>
        <v>-36.159999999999968</v>
      </c>
      <c r="B129" s="64" t="s">
        <v>154</v>
      </c>
      <c r="C129" s="65">
        <v>48.79</v>
      </c>
      <c r="D129" s="65">
        <v>246.99</v>
      </c>
      <c r="E129" s="65">
        <v>12496.52</v>
      </c>
      <c r="F129" s="65">
        <v>0.18</v>
      </c>
      <c r="G129" s="67">
        <f>361.33-351.04</f>
        <v>10.289999999999964</v>
      </c>
      <c r="H129" s="65">
        <v>1450</v>
      </c>
      <c r="I129" s="64">
        <f>284.63-273.01</f>
        <v>11.620000000000005</v>
      </c>
      <c r="J129" s="65">
        <v>1750</v>
      </c>
    </row>
    <row r="130" spans="1:10" x14ac:dyDescent="0.3">
      <c r="A130" s="64">
        <f t="shared" si="13"/>
        <v>-19.17999999999995</v>
      </c>
      <c r="B130" s="64" t="s">
        <v>157</v>
      </c>
      <c r="C130" s="65">
        <v>47.3</v>
      </c>
      <c r="D130" s="65">
        <v>263.97000000000003</v>
      </c>
      <c r="E130" s="65">
        <v>11388.72</v>
      </c>
      <c r="F130" s="65">
        <v>0.25</v>
      </c>
      <c r="G130" s="67">
        <f>403.87-393.49</f>
        <v>10.379999999999995</v>
      </c>
      <c r="H130" s="65">
        <v>1400</v>
      </c>
      <c r="I130" s="64">
        <f>308.79-297.75</f>
        <v>11.04000000000002</v>
      </c>
      <c r="J130" s="65">
        <v>1700</v>
      </c>
    </row>
    <row r="131" spans="1:10" x14ac:dyDescent="0.3">
      <c r="A131" s="64">
        <f t="shared" si="13"/>
        <v>-6.8100000000000023</v>
      </c>
      <c r="B131" s="64" t="s">
        <v>156</v>
      </c>
      <c r="C131" s="65">
        <v>45.37</v>
      </c>
      <c r="D131" s="65">
        <v>276.33999999999997</v>
      </c>
      <c r="E131" s="65">
        <v>10238.64</v>
      </c>
      <c r="F131" s="65">
        <v>0.25</v>
      </c>
      <c r="G131" s="67">
        <f>419.7-408.76</f>
        <v>10.939999999999998</v>
      </c>
      <c r="H131" s="65">
        <v>1200</v>
      </c>
      <c r="I131" s="64">
        <f>326.36-315.68</f>
        <v>10.680000000000007</v>
      </c>
      <c r="J131" s="65">
        <v>1100</v>
      </c>
    </row>
    <row r="132" spans="1:10" x14ac:dyDescent="0.3">
      <c r="A132" s="64">
        <f t="shared" si="13"/>
        <v>3.8600000000000136</v>
      </c>
      <c r="B132" s="64" t="s">
        <v>155</v>
      </c>
      <c r="C132" s="65">
        <v>43.8</v>
      </c>
      <c r="D132" s="65">
        <v>287.01</v>
      </c>
      <c r="E132" s="65">
        <v>9092</v>
      </c>
      <c r="F132" s="65">
        <v>0.25</v>
      </c>
      <c r="G132" s="67">
        <f>431.14-420.33</f>
        <v>10.810000000000002</v>
      </c>
      <c r="H132" s="65">
        <v>1050</v>
      </c>
      <c r="I132" s="64">
        <f>341.87-331.34</f>
        <v>10.53000000000003</v>
      </c>
      <c r="J132" s="65">
        <v>800</v>
      </c>
    </row>
    <row r="133" spans="1:10" ht="15" thickBot="1" x14ac:dyDescent="0.35">
      <c r="A133" s="89">
        <f t="shared" si="13"/>
        <v>8.6200000000000045</v>
      </c>
      <c r="B133" s="89" t="s">
        <v>158</v>
      </c>
      <c r="C133" s="90">
        <v>43.48</v>
      </c>
      <c r="D133" s="90">
        <v>291.77</v>
      </c>
      <c r="E133" s="90">
        <v>8490.5</v>
      </c>
      <c r="F133" s="90">
        <v>0.25</v>
      </c>
      <c r="G133" s="91">
        <f>435.27-425.27</f>
        <v>10</v>
      </c>
      <c r="H133" s="90">
        <v>1000</v>
      </c>
      <c r="I133" s="89">
        <f>347.28-337.87</f>
        <v>9.4099999999999682</v>
      </c>
      <c r="J133" s="90">
        <v>750</v>
      </c>
    </row>
    <row r="134" spans="1:10" ht="15.6" thickTop="1" thickBot="1" x14ac:dyDescent="0.35">
      <c r="A134" s="11">
        <f t="shared" si="13"/>
        <v>-73.669999999999987</v>
      </c>
      <c r="B134" s="52" t="s">
        <v>85</v>
      </c>
      <c r="C134" s="51">
        <v>50.89</v>
      </c>
      <c r="D134" s="51">
        <v>209.48</v>
      </c>
      <c r="E134" s="51">
        <v>5725</v>
      </c>
      <c r="F134" s="51">
        <v>0.15</v>
      </c>
      <c r="G134" s="51">
        <f>346.7-336.49</f>
        <v>10.20999999999998</v>
      </c>
      <c r="H134" s="51">
        <v>250</v>
      </c>
      <c r="I134" s="51">
        <f>271.64-261.71</f>
        <v>9.9300000000000068</v>
      </c>
      <c r="J134" s="51">
        <v>250</v>
      </c>
    </row>
    <row r="135" spans="1:10" ht="15.6" thickTop="1" thickBot="1" x14ac:dyDescent="0.35">
      <c r="A135" s="6"/>
      <c r="B135" s="48"/>
      <c r="C135" s="6"/>
      <c r="D135" s="6"/>
      <c r="E135" s="6"/>
      <c r="F135" s="6"/>
      <c r="G135" s="6"/>
      <c r="H135" s="6"/>
      <c r="I135" s="6"/>
      <c r="J135" s="6"/>
    </row>
    <row r="136" spans="1:10" ht="19.2" thickTop="1" thickBot="1" x14ac:dyDescent="0.35">
      <c r="A136" s="135" t="s">
        <v>206</v>
      </c>
      <c r="B136" s="136"/>
      <c r="C136" s="136"/>
      <c r="D136" s="136"/>
      <c r="E136" s="136"/>
      <c r="F136" s="136"/>
      <c r="G136" s="136"/>
      <c r="H136" s="136"/>
      <c r="I136" s="136"/>
      <c r="J136" s="136"/>
    </row>
    <row r="137" spans="1:10" ht="47.4" customHeight="1" thickTop="1" thickBot="1" x14ac:dyDescent="0.35">
      <c r="A137" s="11" t="s">
        <v>33</v>
      </c>
      <c r="B137" s="11" t="s">
        <v>15</v>
      </c>
      <c r="C137" s="11" t="s">
        <v>22</v>
      </c>
      <c r="D137" s="11" t="s">
        <v>17</v>
      </c>
      <c r="E137" s="11" t="s">
        <v>16</v>
      </c>
      <c r="F137" s="11" t="s">
        <v>28</v>
      </c>
      <c r="G137" s="11" t="s">
        <v>20</v>
      </c>
      <c r="H137" s="11" t="s">
        <v>29</v>
      </c>
      <c r="I137" s="11" t="s">
        <v>21</v>
      </c>
      <c r="J137" s="11" t="s">
        <v>30</v>
      </c>
    </row>
    <row r="138" spans="1:10" ht="15.6" thickTop="1" thickBot="1" x14ac:dyDescent="0.35">
      <c r="A138" s="83">
        <v>20.980000000000018</v>
      </c>
      <c r="B138" s="83" t="s">
        <v>27</v>
      </c>
      <c r="C138" s="83">
        <v>42.9</v>
      </c>
      <c r="D138" s="84">
        <v>304.13</v>
      </c>
      <c r="E138" s="84">
        <v>7474.89</v>
      </c>
      <c r="F138" s="84">
        <v>0.31</v>
      </c>
      <c r="G138" s="85">
        <v>10.17</v>
      </c>
      <c r="H138" s="85">
        <v>900</v>
      </c>
      <c r="I138" s="85">
        <v>11.2</v>
      </c>
      <c r="J138" s="85">
        <v>700</v>
      </c>
    </row>
    <row r="139" spans="1:10" x14ac:dyDescent="0.3">
      <c r="A139" s="86">
        <f t="shared" ref="A139:A150" si="15">D139-273.15-10</f>
        <v>14.390000000000043</v>
      </c>
      <c r="B139" s="86" t="s">
        <v>138</v>
      </c>
      <c r="C139" s="87">
        <v>42.67</v>
      </c>
      <c r="D139" s="87">
        <v>297.54000000000002</v>
      </c>
      <c r="E139" s="87">
        <v>8095.71</v>
      </c>
      <c r="F139" s="87">
        <v>0.25</v>
      </c>
      <c r="G139" s="88">
        <f>445.67-435.14</f>
        <v>10.53000000000003</v>
      </c>
      <c r="H139" s="87">
        <v>950</v>
      </c>
      <c r="I139" s="86">
        <f>356-346.6</f>
        <v>9.3999999999999773</v>
      </c>
      <c r="J139" s="87">
        <v>700</v>
      </c>
    </row>
    <row r="140" spans="1:10" x14ac:dyDescent="0.3">
      <c r="A140" s="64">
        <f t="shared" si="15"/>
        <v>6.2200000000000273</v>
      </c>
      <c r="B140" s="64" t="s">
        <v>137</v>
      </c>
      <c r="C140" s="65">
        <v>43.44</v>
      </c>
      <c r="D140" s="66">
        <v>289.37</v>
      </c>
      <c r="E140" s="66">
        <v>8385.99</v>
      </c>
      <c r="F140" s="66">
        <v>0.24</v>
      </c>
      <c r="G140" s="67">
        <f>436.13-426.03</f>
        <v>10.100000000000023</v>
      </c>
      <c r="H140" s="66">
        <v>950</v>
      </c>
      <c r="I140" s="64">
        <f>348.02-338.22</f>
        <v>9.7999999999999545</v>
      </c>
      <c r="J140" s="66">
        <v>700</v>
      </c>
    </row>
    <row r="141" spans="1:10" x14ac:dyDescent="0.3">
      <c r="A141" s="64">
        <f t="shared" si="15"/>
        <v>-4.5699999999999932</v>
      </c>
      <c r="B141" s="64" t="s">
        <v>136</v>
      </c>
      <c r="C141" s="65">
        <v>45.12</v>
      </c>
      <c r="D141" s="66">
        <v>278.58</v>
      </c>
      <c r="E141" s="66">
        <v>9266.7800000000007</v>
      </c>
      <c r="F141" s="66">
        <v>0.24</v>
      </c>
      <c r="G141" s="67">
        <f>431.43-420.12</f>
        <v>11.310000000000002</v>
      </c>
      <c r="H141" s="66">
        <v>1000</v>
      </c>
      <c r="I141" s="64">
        <f>332.45-323.27</f>
        <v>9.1800000000000068</v>
      </c>
      <c r="J141" s="66">
        <v>1000</v>
      </c>
    </row>
    <row r="142" spans="1:10" x14ac:dyDescent="0.3">
      <c r="A142" s="64">
        <f t="shared" si="15"/>
        <v>-16.379999999999995</v>
      </c>
      <c r="B142" s="64" t="s">
        <v>135</v>
      </c>
      <c r="C142" s="65">
        <v>45.89</v>
      </c>
      <c r="D142" s="66">
        <v>266.77</v>
      </c>
      <c r="E142" s="66">
        <v>10065.44</v>
      </c>
      <c r="F142" s="66">
        <v>0.2</v>
      </c>
      <c r="G142" s="67">
        <f>392.66-382.89</f>
        <v>9.7700000000000387</v>
      </c>
      <c r="H142" s="66">
        <v>1100</v>
      </c>
      <c r="I142" s="64">
        <f>317.17-307.38</f>
        <v>9.7900000000000205</v>
      </c>
      <c r="J142" s="66">
        <v>850</v>
      </c>
    </row>
    <row r="143" spans="1:10" x14ac:dyDescent="0.3">
      <c r="A143" s="64">
        <f t="shared" si="15"/>
        <v>-29.47999999999999</v>
      </c>
      <c r="B143" s="64" t="s">
        <v>128</v>
      </c>
      <c r="C143" s="65">
        <v>49</v>
      </c>
      <c r="D143" s="66">
        <v>253.67</v>
      </c>
      <c r="E143" s="66">
        <v>11873.77</v>
      </c>
      <c r="F143" s="66">
        <v>0.2</v>
      </c>
      <c r="G143" s="67">
        <f>390.56-379.5</f>
        <v>11.060000000000002</v>
      </c>
      <c r="H143" s="66">
        <v>1300</v>
      </c>
      <c r="I143" s="64">
        <f>293.16-283.44</f>
        <v>9.7200000000000273</v>
      </c>
      <c r="J143" s="68">
        <v>2800</v>
      </c>
    </row>
    <row r="144" spans="1:10" x14ac:dyDescent="0.3">
      <c r="A144" s="64">
        <f t="shared" si="15"/>
        <v>-45.099999999999966</v>
      </c>
      <c r="B144" s="64" t="s">
        <v>129</v>
      </c>
      <c r="C144" s="65">
        <v>51.44</v>
      </c>
      <c r="D144" s="66">
        <v>238.05</v>
      </c>
      <c r="E144" s="66">
        <v>11059.82</v>
      </c>
      <c r="F144" s="66">
        <v>0.24</v>
      </c>
      <c r="G144" s="67">
        <f>390.24-379.55</f>
        <v>10.689999999999998</v>
      </c>
      <c r="H144" s="66">
        <v>1100</v>
      </c>
      <c r="I144" s="64">
        <f>281.25-271.03</f>
        <v>10.220000000000027</v>
      </c>
      <c r="J144" s="68">
        <v>2400</v>
      </c>
    </row>
    <row r="145" spans="1:10" x14ac:dyDescent="0.3">
      <c r="A145" s="64">
        <f t="shared" si="15"/>
        <v>-59.249999999999972</v>
      </c>
      <c r="B145" s="64" t="s">
        <v>146</v>
      </c>
      <c r="C145" s="65">
        <v>53.44</v>
      </c>
      <c r="D145" s="66">
        <v>223.9</v>
      </c>
      <c r="E145" s="66">
        <v>10807.19</v>
      </c>
      <c r="F145" s="66">
        <v>0.25</v>
      </c>
      <c r="G145" s="67">
        <f>383.65-373.06</f>
        <v>10.589999999999975</v>
      </c>
      <c r="H145" s="66">
        <v>1000</v>
      </c>
      <c r="I145" s="64">
        <f>268.56-258.11</f>
        <v>10.449999999999989</v>
      </c>
      <c r="J145" s="66">
        <v>2200</v>
      </c>
    </row>
    <row r="146" spans="1:10" x14ac:dyDescent="0.3">
      <c r="A146" s="64">
        <f t="shared" si="15"/>
        <v>-72.989999999999981</v>
      </c>
      <c r="B146" s="64" t="s">
        <v>147</v>
      </c>
      <c r="C146" s="65">
        <v>55.27</v>
      </c>
      <c r="D146" s="66">
        <v>210.16</v>
      </c>
      <c r="E146" s="66">
        <v>10112.030000000001</v>
      </c>
      <c r="F146" s="66">
        <v>0.26</v>
      </c>
      <c r="G146" s="67">
        <f>392.71-381.23</f>
        <v>11.479999999999961</v>
      </c>
      <c r="H146" s="66">
        <v>800</v>
      </c>
      <c r="I146" s="64">
        <f>258.98-248.93</f>
        <v>10.050000000000011</v>
      </c>
      <c r="J146" s="66">
        <v>1800</v>
      </c>
    </row>
    <row r="147" spans="1:10" ht="15" thickBot="1" x14ac:dyDescent="0.35">
      <c r="A147" s="64">
        <f t="shared" si="15"/>
        <v>-88.769999999999982</v>
      </c>
      <c r="B147" s="64" t="s">
        <v>148</v>
      </c>
      <c r="C147" s="65">
        <v>56.14</v>
      </c>
      <c r="D147" s="66">
        <v>194.38</v>
      </c>
      <c r="E147" s="66">
        <v>9047.48</v>
      </c>
      <c r="F147" s="66">
        <v>0.22</v>
      </c>
      <c r="G147" s="67">
        <f>354.35-344.42</f>
        <v>9.9300000000000068</v>
      </c>
      <c r="H147" s="66">
        <v>650</v>
      </c>
      <c r="I147" s="64">
        <f>248.44-238.49</f>
        <v>9.9499999999999886</v>
      </c>
      <c r="J147" s="66">
        <v>650</v>
      </c>
    </row>
    <row r="148" spans="1:10" ht="15" thickBot="1" x14ac:dyDescent="0.35">
      <c r="A148" s="78">
        <f t="shared" si="15"/>
        <v>-106.77999999999997</v>
      </c>
      <c r="B148" s="78" t="s">
        <v>149</v>
      </c>
      <c r="C148" s="79">
        <v>57.98</v>
      </c>
      <c r="D148" s="80">
        <v>176.37</v>
      </c>
      <c r="E148" s="80">
        <v>7626.91</v>
      </c>
      <c r="F148" s="80">
        <v>0.22</v>
      </c>
      <c r="G148" s="81">
        <f>356.92-346.91</f>
        <v>10.009999999999991</v>
      </c>
      <c r="H148" s="80">
        <v>450</v>
      </c>
      <c r="I148" s="82">
        <f>236.47-225.89</f>
        <v>10.580000000000013</v>
      </c>
      <c r="J148" s="80">
        <v>450</v>
      </c>
    </row>
    <row r="149" spans="1:10" ht="15" thickBot="1" x14ac:dyDescent="0.35">
      <c r="A149" s="78">
        <f t="shared" si="15"/>
        <v>-132.46999999999997</v>
      </c>
      <c r="B149" s="78" t="s">
        <v>84</v>
      </c>
      <c r="C149" s="79">
        <v>62.34</v>
      </c>
      <c r="D149" s="80">
        <v>150.68</v>
      </c>
      <c r="E149" s="80">
        <v>4963</v>
      </c>
      <c r="F149" s="80">
        <v>0.22</v>
      </c>
      <c r="G149" s="81">
        <f>338.08-327.21</f>
        <v>10.870000000000005</v>
      </c>
      <c r="H149" s="80">
        <v>250</v>
      </c>
      <c r="I149" s="82">
        <f>205.78-195.8</f>
        <v>9.9799999999999898</v>
      </c>
      <c r="J149" s="80">
        <v>275</v>
      </c>
    </row>
    <row r="150" spans="1:10" x14ac:dyDescent="0.3">
      <c r="A150" s="6">
        <f t="shared" si="15"/>
        <v>15.260000000000048</v>
      </c>
      <c r="B150" s="6" t="s">
        <v>61</v>
      </c>
      <c r="C150" s="7">
        <v>43.55</v>
      </c>
      <c r="D150" s="4">
        <v>298.41000000000003</v>
      </c>
      <c r="E150" s="4">
        <v>7977.87</v>
      </c>
      <c r="F150" s="4">
        <v>0.25</v>
      </c>
      <c r="G150" s="6">
        <f>459.89-449.78</f>
        <v>10.110000000000014</v>
      </c>
      <c r="H150" s="6">
        <v>850</v>
      </c>
      <c r="I150" s="6">
        <f>362.57-352.21</f>
        <v>10.360000000000014</v>
      </c>
      <c r="J150" s="6">
        <v>650</v>
      </c>
    </row>
    <row r="151" spans="1:10" x14ac:dyDescent="0.3">
      <c r="A151" s="6">
        <f t="shared" ref="A151:A155" si="16">D151-273.15-10</f>
        <v>9.5100000000000477</v>
      </c>
      <c r="B151" s="6" t="s">
        <v>62</v>
      </c>
      <c r="C151" s="7">
        <v>43.7</v>
      </c>
      <c r="D151" s="4">
        <v>292.66000000000003</v>
      </c>
      <c r="E151" s="4">
        <v>7168.4</v>
      </c>
      <c r="F151" s="4">
        <v>0.25</v>
      </c>
      <c r="G151" s="15">
        <f>438.79-428.63</f>
        <v>10.160000000000025</v>
      </c>
      <c r="H151" s="4">
        <v>725</v>
      </c>
      <c r="I151" s="6">
        <f>345.34-335.79</f>
        <v>9.5499999999999545</v>
      </c>
      <c r="J151" s="4">
        <v>600</v>
      </c>
    </row>
    <row r="152" spans="1:10" x14ac:dyDescent="0.3">
      <c r="A152" s="6">
        <f t="shared" si="16"/>
        <v>4.6000000000000227</v>
      </c>
      <c r="B152" s="6" t="s">
        <v>63</v>
      </c>
      <c r="C152" s="7">
        <v>44.71</v>
      </c>
      <c r="D152" s="4">
        <v>287.75</v>
      </c>
      <c r="E152" s="4">
        <v>6816.4</v>
      </c>
      <c r="F152" s="4">
        <v>0.28000000000000003</v>
      </c>
      <c r="G152" s="15">
        <f>463.55-453.27</f>
        <v>10.28000000000003</v>
      </c>
      <c r="H152" s="4">
        <v>650</v>
      </c>
      <c r="I152" s="6">
        <f>342.49-332.58</f>
        <v>9.910000000000025</v>
      </c>
      <c r="J152" s="4">
        <v>700</v>
      </c>
    </row>
    <row r="153" spans="1:10" x14ac:dyDescent="0.3">
      <c r="A153" s="6">
        <f t="shared" si="16"/>
        <v>1</v>
      </c>
      <c r="B153" s="6" t="s">
        <v>64</v>
      </c>
      <c r="C153" s="6">
        <v>44.99</v>
      </c>
      <c r="D153" s="6">
        <v>284.14999999999998</v>
      </c>
      <c r="E153" s="6">
        <v>6513.52</v>
      </c>
      <c r="F153" s="6">
        <v>0.28000000000000003</v>
      </c>
      <c r="G153" s="6">
        <f>474.33-463.88</f>
        <v>10.449999999999989</v>
      </c>
      <c r="H153" s="6">
        <v>550</v>
      </c>
      <c r="I153" s="6">
        <f>340.37-330.65</f>
        <v>9.7200000000000273</v>
      </c>
      <c r="J153" s="6">
        <v>700</v>
      </c>
    </row>
    <row r="154" spans="1:10" x14ac:dyDescent="0.3">
      <c r="A154" s="6">
        <f t="shared" si="16"/>
        <v>-0.97999999999996135</v>
      </c>
      <c r="B154" s="6" t="s">
        <v>107</v>
      </c>
      <c r="C154" s="7">
        <v>44.17</v>
      </c>
      <c r="D154" s="4">
        <v>282.17</v>
      </c>
      <c r="E154" s="4">
        <v>6313.89</v>
      </c>
      <c r="F154" s="4">
        <v>0.25</v>
      </c>
      <c r="G154" s="15">
        <f>456.09-446.98</f>
        <v>9.1099999999999568</v>
      </c>
      <c r="H154" s="4">
        <v>500</v>
      </c>
      <c r="I154" s="6">
        <f>342-331</f>
        <v>11</v>
      </c>
      <c r="J154" s="4">
        <v>500</v>
      </c>
    </row>
    <row r="155" spans="1:10" ht="15" thickBot="1" x14ac:dyDescent="0.35">
      <c r="A155" s="6">
        <f t="shared" si="16"/>
        <v>-1.3299999999999841</v>
      </c>
      <c r="B155" s="6" t="s">
        <v>108</v>
      </c>
      <c r="C155" s="7">
        <v>43.71</v>
      </c>
      <c r="D155" s="4">
        <v>281.82</v>
      </c>
      <c r="E155" s="4">
        <v>6216.14</v>
      </c>
      <c r="F155" s="4">
        <v>0.25</v>
      </c>
      <c r="G155" s="15">
        <f>471.28-461.97</f>
        <v>9.3099999999999454</v>
      </c>
      <c r="H155" s="4">
        <v>425</v>
      </c>
      <c r="I155" s="6">
        <f>344.59-333.88</f>
        <v>10.70999999999998</v>
      </c>
      <c r="J155" s="4">
        <v>525</v>
      </c>
    </row>
    <row r="156" spans="1:10" ht="15.6" thickTop="1" thickBot="1" x14ac:dyDescent="0.35">
      <c r="A156" s="51"/>
      <c r="B156" s="52" t="s">
        <v>86</v>
      </c>
      <c r="C156" s="51"/>
      <c r="D156" s="51"/>
      <c r="E156" s="51"/>
      <c r="F156" s="51"/>
      <c r="G156" s="51"/>
      <c r="H156" s="51"/>
      <c r="I156" s="51"/>
      <c r="J156" s="51"/>
    </row>
    <row r="157" spans="1:10" ht="15.6" thickTop="1" thickBot="1" x14ac:dyDescent="0.35"/>
    <row r="158" spans="1:10" ht="19.2" thickTop="1" thickBot="1" x14ac:dyDescent="0.35">
      <c r="A158" s="135" t="s">
        <v>209</v>
      </c>
      <c r="B158" s="136"/>
      <c r="C158" s="136"/>
      <c r="D158" s="136"/>
      <c r="E158" s="136"/>
      <c r="F158" s="136"/>
      <c r="G158" s="136"/>
      <c r="H158" s="136"/>
      <c r="I158" s="136"/>
      <c r="J158" s="136"/>
    </row>
    <row r="159" spans="1:10" ht="42.6" thickTop="1" thickBot="1" x14ac:dyDescent="0.35">
      <c r="A159" s="77" t="s">
        <v>33</v>
      </c>
      <c r="B159" s="77" t="s">
        <v>15</v>
      </c>
      <c r="C159" s="77" t="s">
        <v>22</v>
      </c>
      <c r="D159" s="77" t="s">
        <v>17</v>
      </c>
      <c r="E159" s="77" t="s">
        <v>16</v>
      </c>
      <c r="F159" s="77" t="s">
        <v>28</v>
      </c>
      <c r="G159" s="77" t="s">
        <v>20</v>
      </c>
      <c r="H159" s="77" t="s">
        <v>29</v>
      </c>
      <c r="I159" s="77" t="s">
        <v>21</v>
      </c>
      <c r="J159" s="77" t="s">
        <v>30</v>
      </c>
    </row>
    <row r="160" spans="1:10" ht="15" thickBot="1" x14ac:dyDescent="0.35">
      <c r="A160" s="78">
        <f>D160-273.15-10</f>
        <v>20.980000000000018</v>
      </c>
      <c r="B160" s="78" t="s">
        <v>27</v>
      </c>
      <c r="C160" s="78">
        <v>42.9</v>
      </c>
      <c r="D160" s="79">
        <v>304.13</v>
      </c>
      <c r="E160" s="79">
        <v>7474.89</v>
      </c>
      <c r="F160" s="79">
        <v>0.31</v>
      </c>
      <c r="G160" s="78">
        <v>10.17</v>
      </c>
      <c r="H160" s="78">
        <v>900</v>
      </c>
      <c r="I160" s="78">
        <v>11.2</v>
      </c>
      <c r="J160" s="78">
        <v>700</v>
      </c>
    </row>
    <row r="161" spans="1:10" x14ac:dyDescent="0.3">
      <c r="A161" s="6">
        <f>D161-273.15-10</f>
        <v>13.439999999999998</v>
      </c>
      <c r="B161" s="8" t="s">
        <v>50</v>
      </c>
      <c r="C161" s="6">
        <v>43.49</v>
      </c>
      <c r="D161" s="7">
        <v>296.58999999999997</v>
      </c>
      <c r="E161" s="7">
        <v>7935.27</v>
      </c>
      <c r="F161" s="7">
        <v>0.26</v>
      </c>
      <c r="G161" s="6">
        <f>444.68-432.91</f>
        <v>11.769999999999982</v>
      </c>
      <c r="H161" s="6">
        <v>1000</v>
      </c>
      <c r="I161" s="6">
        <f>348.88-339.1</f>
        <v>9.7799999999999727</v>
      </c>
      <c r="J161" s="6">
        <v>800</v>
      </c>
    </row>
    <row r="162" spans="1:10" x14ac:dyDescent="0.3">
      <c r="A162" s="6">
        <f t="shared" ref="A162:A166" si="17">D162-273.15-10</f>
        <v>4.2400000000000091</v>
      </c>
      <c r="B162" s="8" t="s">
        <v>51</v>
      </c>
      <c r="C162" s="6">
        <v>45.05</v>
      </c>
      <c r="D162" s="7">
        <v>287.39</v>
      </c>
      <c r="E162" s="7">
        <v>7851.58</v>
      </c>
      <c r="F162" s="7">
        <v>0.25</v>
      </c>
      <c r="G162" s="6">
        <f>439.42-427.72</f>
        <v>11.699999999999989</v>
      </c>
      <c r="H162" s="6">
        <v>1200</v>
      </c>
      <c r="I162" s="6">
        <f>339.92-330.16</f>
        <v>9.7599999999999909</v>
      </c>
      <c r="J162" s="6">
        <v>900</v>
      </c>
    </row>
    <row r="163" spans="1:10" x14ac:dyDescent="0.3">
      <c r="A163" s="6">
        <f t="shared" si="17"/>
        <v>-5.4599999999999795</v>
      </c>
      <c r="B163" s="8" t="s">
        <v>52</v>
      </c>
      <c r="C163" s="6">
        <v>46.21</v>
      </c>
      <c r="D163" s="7">
        <v>277.69</v>
      </c>
      <c r="E163" s="7">
        <v>7482.4</v>
      </c>
      <c r="F163" s="7">
        <v>0.23</v>
      </c>
      <c r="G163" s="6">
        <f>427.9-415.79</f>
        <v>12.109999999999957</v>
      </c>
      <c r="H163" s="6">
        <v>1100</v>
      </c>
      <c r="I163" s="6">
        <f>329.99-320.17</f>
        <v>9.8199999999999932</v>
      </c>
      <c r="J163" s="6">
        <v>850</v>
      </c>
    </row>
    <row r="164" spans="1:10" x14ac:dyDescent="0.3">
      <c r="A164" s="6">
        <f t="shared" si="17"/>
        <v>-8.3599999999999568</v>
      </c>
      <c r="B164" s="8" t="s">
        <v>71</v>
      </c>
      <c r="C164" s="6">
        <v>46.48</v>
      </c>
      <c r="D164" s="7">
        <v>274.79000000000002</v>
      </c>
      <c r="E164" s="7">
        <v>7231.16</v>
      </c>
      <c r="F164" s="7">
        <v>0.22</v>
      </c>
      <c r="G164" s="6">
        <f>418.96-408.28</f>
        <v>10.680000000000007</v>
      </c>
      <c r="H164" s="6">
        <v>1150</v>
      </c>
      <c r="I164" s="6">
        <f>329.44-319.59</f>
        <v>9.8500000000000227</v>
      </c>
      <c r="J164" s="6">
        <v>750</v>
      </c>
    </row>
    <row r="165" spans="1:10" x14ac:dyDescent="0.3">
      <c r="A165" s="6">
        <f t="shared" si="17"/>
        <v>-14.96999999999997</v>
      </c>
      <c r="B165" s="8" t="s">
        <v>53</v>
      </c>
      <c r="C165" s="6">
        <v>47.45</v>
      </c>
      <c r="D165" s="7">
        <v>268.18</v>
      </c>
      <c r="E165" s="7">
        <v>6935.24</v>
      </c>
      <c r="F165" s="7">
        <v>0.22</v>
      </c>
      <c r="G165" s="6">
        <f>411.72-400.89</f>
        <v>10.830000000000041</v>
      </c>
      <c r="H165" s="6">
        <v>1140</v>
      </c>
      <c r="I165" s="6">
        <f>321.8-310.83</f>
        <v>10.970000000000027</v>
      </c>
      <c r="J165" s="6">
        <v>700</v>
      </c>
    </row>
    <row r="166" spans="1:10" x14ac:dyDescent="0.3">
      <c r="A166" s="6">
        <f t="shared" si="17"/>
        <v>-18.589999999999975</v>
      </c>
      <c r="B166" s="6" t="s">
        <v>70</v>
      </c>
      <c r="C166" s="7">
        <v>48.45</v>
      </c>
      <c r="D166" s="4">
        <v>264.56</v>
      </c>
      <c r="E166" s="4">
        <v>6695.28</v>
      </c>
      <c r="F166" s="4">
        <v>0.22</v>
      </c>
      <c r="G166" s="6">
        <f>414.23-403.44</f>
        <v>10.79000000000002</v>
      </c>
      <c r="H166" s="6">
        <v>1150</v>
      </c>
      <c r="I166" s="6">
        <f>317.05-307.37</f>
        <v>9.6800000000000068</v>
      </c>
      <c r="J166" s="6">
        <v>800</v>
      </c>
    </row>
    <row r="167" spans="1:10" x14ac:dyDescent="0.3">
      <c r="A167" s="6">
        <f>D167-273.15-10</f>
        <v>-28.519999999999982</v>
      </c>
      <c r="B167" s="6" t="s">
        <v>69</v>
      </c>
      <c r="C167" s="7">
        <v>50.36</v>
      </c>
      <c r="D167" s="4">
        <v>254.63</v>
      </c>
      <c r="E167" s="4">
        <v>5998.71</v>
      </c>
      <c r="F167" s="4">
        <v>0.22</v>
      </c>
      <c r="G167" s="15">
        <f>408.89-398.87</f>
        <v>10.019999999999982</v>
      </c>
      <c r="H167" s="4">
        <v>1150</v>
      </c>
      <c r="I167" s="6">
        <f>307.33-297.64</f>
        <v>9.6899999999999977</v>
      </c>
      <c r="J167" s="4">
        <v>800</v>
      </c>
    </row>
    <row r="168" spans="1:10" x14ac:dyDescent="0.3">
      <c r="A168" s="6">
        <f>D168-273.15-10</f>
        <v>-37.899999999999977</v>
      </c>
      <c r="B168" s="6" t="s">
        <v>68</v>
      </c>
      <c r="C168" s="7">
        <v>52.25</v>
      </c>
      <c r="D168" s="4">
        <v>245.25</v>
      </c>
      <c r="E168" s="4">
        <v>5348.84</v>
      </c>
      <c r="F168" s="4">
        <v>0.22</v>
      </c>
      <c r="G168" s="15">
        <f>404.66-394.95</f>
        <v>9.7100000000000364</v>
      </c>
      <c r="H168" s="4">
        <v>1150</v>
      </c>
      <c r="I168" s="15">
        <f>297.13-287.24</f>
        <v>9.8899999999999864</v>
      </c>
      <c r="J168" s="4">
        <v>800</v>
      </c>
    </row>
    <row r="169" spans="1:10" ht="15" thickBot="1" x14ac:dyDescent="0.35">
      <c r="A169" s="6">
        <f>D169-273.15-10</f>
        <v>-42.939999999999969</v>
      </c>
      <c r="B169" s="6" t="s">
        <v>82</v>
      </c>
      <c r="C169" s="6">
        <v>53.55</v>
      </c>
      <c r="D169" s="6">
        <v>240.21</v>
      </c>
      <c r="E169" s="6">
        <v>5024.3</v>
      </c>
      <c r="F169" s="6">
        <v>0.22</v>
      </c>
      <c r="G169" s="6">
        <f>415.72-404.34</f>
        <v>11.380000000000052</v>
      </c>
      <c r="H169" s="6">
        <v>1100</v>
      </c>
      <c r="I169" s="6">
        <f>290.28-281.17</f>
        <v>9.1099999999999568</v>
      </c>
      <c r="J169" s="6">
        <v>1000</v>
      </c>
    </row>
    <row r="170" spans="1:10" x14ac:dyDescent="0.3">
      <c r="A170" s="88">
        <f t="shared" ref="A170:A179" si="18">D170-273.15-10</f>
        <v>-283.14999999999998</v>
      </c>
      <c r="B170" s="87" t="s">
        <v>216</v>
      </c>
      <c r="C170" s="86"/>
      <c r="D170" s="86"/>
      <c r="E170" s="86"/>
      <c r="F170" s="86"/>
      <c r="G170" s="86"/>
      <c r="H170" s="86"/>
      <c r="I170" s="86"/>
      <c r="J170" s="86"/>
    </row>
    <row r="171" spans="1:10" x14ac:dyDescent="0.3">
      <c r="A171" s="67">
        <f t="shared" si="18"/>
        <v>-283.14999999999998</v>
      </c>
      <c r="B171" s="65" t="s">
        <v>215</v>
      </c>
      <c r="C171" s="64"/>
      <c r="D171" s="64"/>
      <c r="E171" s="64"/>
      <c r="F171" s="64"/>
      <c r="G171" s="64"/>
      <c r="H171" s="64"/>
      <c r="I171" s="64"/>
      <c r="J171" s="64"/>
    </row>
    <row r="172" spans="1:10" x14ac:dyDescent="0.3">
      <c r="A172" s="67">
        <f t="shared" si="18"/>
        <v>-283.14999999999998</v>
      </c>
      <c r="B172" s="65" t="s">
        <v>214</v>
      </c>
      <c r="C172" s="64"/>
      <c r="D172" s="64"/>
      <c r="E172" s="64"/>
      <c r="F172" s="64"/>
      <c r="G172" s="64"/>
      <c r="H172" s="64"/>
      <c r="I172" s="64"/>
      <c r="J172" s="64"/>
    </row>
    <row r="173" spans="1:10" ht="15" thickBot="1" x14ac:dyDescent="0.35">
      <c r="A173" s="91">
        <f t="shared" si="18"/>
        <v>-283.14999999999998</v>
      </c>
      <c r="B173" s="90" t="s">
        <v>277</v>
      </c>
      <c r="C173" s="89"/>
      <c r="D173" s="89"/>
      <c r="E173" s="89"/>
      <c r="F173" s="89"/>
      <c r="G173" s="89"/>
      <c r="H173" s="89"/>
      <c r="I173" s="89"/>
      <c r="J173" s="89"/>
    </row>
    <row r="174" spans="1:10" x14ac:dyDescent="0.3">
      <c r="A174" s="67">
        <f t="shared" si="18"/>
        <v>-111.10999999999999</v>
      </c>
      <c r="B174" s="65" t="s">
        <v>283</v>
      </c>
      <c r="C174" s="64">
        <v>61</v>
      </c>
      <c r="D174" s="64">
        <v>172.04</v>
      </c>
      <c r="E174" s="64">
        <v>6850.6</v>
      </c>
      <c r="F174" s="64">
        <v>0.24</v>
      </c>
      <c r="G174" s="64">
        <f>373.66-363.51</f>
        <v>10.150000000000034</v>
      </c>
      <c r="H174" s="64">
        <v>650</v>
      </c>
      <c r="I174" s="64">
        <f>229.88-219.37</f>
        <v>10.509999999999991</v>
      </c>
      <c r="J174" s="64">
        <v>700</v>
      </c>
    </row>
    <row r="175" spans="1:10" x14ac:dyDescent="0.3">
      <c r="A175" s="67">
        <f t="shared" si="18"/>
        <v>-113.68999999999997</v>
      </c>
      <c r="B175" s="65" t="s">
        <v>282</v>
      </c>
      <c r="C175" s="64">
        <v>59.5</v>
      </c>
      <c r="D175" s="64">
        <v>169.46</v>
      </c>
      <c r="E175" s="64">
        <v>4980.7</v>
      </c>
      <c r="F175" s="64">
        <v>0.23</v>
      </c>
      <c r="G175" s="64">
        <f>443.79-433.44</f>
        <v>10.350000000000023</v>
      </c>
      <c r="H175" s="64">
        <v>400</v>
      </c>
      <c r="I175" s="64">
        <f>249.09-238.6</f>
        <v>10.490000000000009</v>
      </c>
      <c r="J175" s="64">
        <v>600</v>
      </c>
    </row>
    <row r="176" spans="1:10" x14ac:dyDescent="0.3">
      <c r="A176" s="67">
        <f t="shared" si="18"/>
        <v>-98.349999999999966</v>
      </c>
      <c r="B176" s="65" t="s">
        <v>281</v>
      </c>
      <c r="C176" s="64">
        <v>56.53</v>
      </c>
      <c r="D176" s="64">
        <v>184.8</v>
      </c>
      <c r="E176" s="64">
        <v>5232.1000000000004</v>
      </c>
      <c r="F176" s="64">
        <v>0.24</v>
      </c>
      <c r="G176" s="64">
        <f>443.85-433.33</f>
        <v>10.520000000000039</v>
      </c>
      <c r="H176" s="64">
        <v>500</v>
      </c>
      <c r="I176" s="64">
        <f>263.79-252.31</f>
        <v>11.480000000000018</v>
      </c>
      <c r="J176" s="64">
        <v>600</v>
      </c>
    </row>
    <row r="177" spans="1:10" x14ac:dyDescent="0.3">
      <c r="A177" s="67">
        <f t="shared" si="18"/>
        <v>-82.999999999999972</v>
      </c>
      <c r="B177" s="65" t="s">
        <v>280</v>
      </c>
      <c r="C177" s="64">
        <v>54.92</v>
      </c>
      <c r="D177" s="64">
        <v>200.15</v>
      </c>
      <c r="E177" s="64">
        <v>5383.6</v>
      </c>
      <c r="F177" s="64">
        <v>0.25</v>
      </c>
      <c r="G177" s="64">
        <f>425.92-415.73</f>
        <v>10.189999999999998</v>
      </c>
      <c r="H177" s="64">
        <v>600</v>
      </c>
      <c r="I177" s="64">
        <f>268.7-258.48</f>
        <v>10.21999999999997</v>
      </c>
      <c r="J177" s="64">
        <v>600</v>
      </c>
    </row>
    <row r="178" spans="1:10" x14ac:dyDescent="0.3">
      <c r="A178" s="67">
        <f t="shared" si="18"/>
        <v>-67.659999999999968</v>
      </c>
      <c r="B178" s="65" t="s">
        <v>279</v>
      </c>
      <c r="C178" s="64">
        <v>53.18</v>
      </c>
      <c r="D178" s="64">
        <v>215.49</v>
      </c>
      <c r="E178" s="64">
        <v>5635</v>
      </c>
      <c r="F178" s="64">
        <v>0.25</v>
      </c>
      <c r="G178" s="64">
        <f>415.27-404.63</f>
        <v>10.639999999999986</v>
      </c>
      <c r="H178" s="64">
        <v>650</v>
      </c>
      <c r="I178" s="64">
        <f>277.3-267.64</f>
        <v>9.660000000000025</v>
      </c>
      <c r="J178" s="64">
        <v>600</v>
      </c>
    </row>
    <row r="179" spans="1:10" ht="15" thickBot="1" x14ac:dyDescent="0.35">
      <c r="A179" s="91">
        <f t="shared" si="18"/>
        <v>-43.139999999999986</v>
      </c>
      <c r="B179" s="90" t="s">
        <v>278</v>
      </c>
      <c r="C179" s="89">
        <v>50.32</v>
      </c>
      <c r="D179" s="89">
        <v>240.01</v>
      </c>
      <c r="E179" s="134">
        <v>12324.9</v>
      </c>
      <c r="F179" s="89">
        <v>0.1</v>
      </c>
      <c r="G179" s="89"/>
      <c r="H179" s="89">
        <v>1800</v>
      </c>
      <c r="I179" s="89"/>
      <c r="J179" s="89">
        <v>2750</v>
      </c>
    </row>
    <row r="180" spans="1:10" x14ac:dyDescent="0.3">
      <c r="A180" s="67">
        <f>D180-273.15-10</f>
        <v>-45.349999999999966</v>
      </c>
      <c r="B180" s="65" t="s">
        <v>276</v>
      </c>
      <c r="C180" s="67">
        <v>49.94</v>
      </c>
      <c r="D180" s="65">
        <v>237.8</v>
      </c>
      <c r="E180" s="67">
        <v>13342.7</v>
      </c>
      <c r="F180" s="65">
        <v>0.05</v>
      </c>
      <c r="G180" s="67">
        <f>349.53-338.71</f>
        <v>10.819999999999993</v>
      </c>
      <c r="H180" s="65">
        <v>2300</v>
      </c>
      <c r="I180" s="67">
        <f>268.66-257.37</f>
        <v>11.29000000000002</v>
      </c>
      <c r="J180" s="65">
        <v>2750</v>
      </c>
    </row>
    <row r="181" spans="1:10" x14ac:dyDescent="0.3">
      <c r="A181" s="67">
        <f>D181-273.15-10</f>
        <v>-26.439999999999998</v>
      </c>
      <c r="B181" s="65" t="s">
        <v>213</v>
      </c>
      <c r="C181" s="67">
        <v>47.87</v>
      </c>
      <c r="D181" s="65">
        <v>256.70999999999998</v>
      </c>
      <c r="E181" s="67">
        <v>11733.2</v>
      </c>
      <c r="F181" s="65">
        <v>0.15</v>
      </c>
      <c r="G181" s="67">
        <f>368.24-358.67</f>
        <v>9.5699999999999932</v>
      </c>
      <c r="H181" s="65">
        <v>1900</v>
      </c>
      <c r="I181" s="67">
        <f>294.16-283.58</f>
        <v>10.580000000000041</v>
      </c>
      <c r="J181" s="65">
        <v>2000</v>
      </c>
    </row>
    <row r="182" spans="1:10" x14ac:dyDescent="0.3">
      <c r="A182" s="67">
        <f>D182-273.15-10</f>
        <v>-11.289999999999964</v>
      </c>
      <c r="B182" s="65" t="s">
        <v>212</v>
      </c>
      <c r="C182" s="67">
        <v>46.3</v>
      </c>
      <c r="D182" s="65">
        <v>271.86</v>
      </c>
      <c r="E182" s="67">
        <v>10268.17</v>
      </c>
      <c r="F182" s="65">
        <v>0.21</v>
      </c>
      <c r="G182" s="67">
        <f>400.78-390.45</f>
        <v>10.329999999999984</v>
      </c>
      <c r="H182" s="65">
        <v>1500</v>
      </c>
      <c r="I182" s="67">
        <f>315.62-305.92</f>
        <v>9.6999999999999886</v>
      </c>
      <c r="J182" s="65">
        <v>1500</v>
      </c>
    </row>
    <row r="183" spans="1:10" x14ac:dyDescent="0.3">
      <c r="A183" s="67">
        <f>D183-273.15-10</f>
        <v>2.0600000000000023</v>
      </c>
      <c r="B183" s="65" t="s">
        <v>211</v>
      </c>
      <c r="C183" s="67">
        <v>44.59</v>
      </c>
      <c r="D183" s="65">
        <v>285.20999999999998</v>
      </c>
      <c r="E183" s="67">
        <v>8990.15</v>
      </c>
      <c r="F183" s="65">
        <v>0.25</v>
      </c>
      <c r="G183" s="67">
        <f>429.99-419.09</f>
        <v>10.900000000000034</v>
      </c>
      <c r="H183" s="65">
        <v>1250</v>
      </c>
      <c r="I183" s="67">
        <f>337.19-326.58</f>
        <v>10.610000000000014</v>
      </c>
      <c r="J183" s="65">
        <v>1000</v>
      </c>
    </row>
    <row r="184" spans="1:10" ht="15" thickBot="1" x14ac:dyDescent="0.35">
      <c r="A184" s="91">
        <f>D184-273.15-10</f>
        <v>12.710000000000036</v>
      </c>
      <c r="B184" s="90" t="s">
        <v>210</v>
      </c>
      <c r="C184" s="91">
        <v>43.6</v>
      </c>
      <c r="D184" s="90">
        <v>295.86</v>
      </c>
      <c r="E184" s="91">
        <v>8380.1</v>
      </c>
      <c r="F184" s="90">
        <v>0.28000000000000003</v>
      </c>
      <c r="G184" s="91">
        <f>459.61-448.19</f>
        <v>11.420000000000016</v>
      </c>
      <c r="H184" s="90">
        <v>1100</v>
      </c>
      <c r="I184" s="91">
        <f>351.72-341.81</f>
        <v>9.910000000000025</v>
      </c>
      <c r="J184" s="90">
        <v>1000</v>
      </c>
    </row>
    <row r="185" spans="1:10" x14ac:dyDescent="0.3">
      <c r="A185" s="74">
        <f t="shared" ref="A185" si="19">D185-273.15-10</f>
        <v>-29.149999999999977</v>
      </c>
      <c r="B185" s="74" t="s">
        <v>67</v>
      </c>
      <c r="C185" s="75">
        <v>47.22</v>
      </c>
      <c r="D185" s="75">
        <v>254</v>
      </c>
      <c r="E185" s="87">
        <v>7460.7</v>
      </c>
      <c r="F185" s="75">
        <v>0.05</v>
      </c>
      <c r="G185" s="76">
        <f>344.29-333.38</f>
        <v>10.910000000000025</v>
      </c>
      <c r="H185" s="75">
        <v>1800</v>
      </c>
      <c r="I185" s="74">
        <f>310.18-300.33</f>
        <v>9.8500000000000227</v>
      </c>
      <c r="J185" s="75">
        <v>400</v>
      </c>
    </row>
    <row r="186" spans="1:10" x14ac:dyDescent="0.3">
      <c r="A186" s="6">
        <f>D186-273.15-10</f>
        <v>-39.149999999999977</v>
      </c>
      <c r="B186" s="6" t="s">
        <v>67</v>
      </c>
      <c r="C186" s="31">
        <v>50.54</v>
      </c>
      <c r="D186" s="7">
        <v>244</v>
      </c>
      <c r="E186" s="65">
        <v>6060.7</v>
      </c>
      <c r="F186" s="7">
        <v>0.14000000000000001</v>
      </c>
      <c r="G186" s="6">
        <f>374.22-363.7</f>
        <v>10.520000000000039</v>
      </c>
      <c r="H186" s="6">
        <v>1500</v>
      </c>
      <c r="I186" s="6">
        <f>301.76-290.8</f>
        <v>10.95999999999998</v>
      </c>
      <c r="J186" s="6">
        <v>600</v>
      </c>
    </row>
    <row r="187" spans="1:10" ht="15" thickBot="1" x14ac:dyDescent="0.35">
      <c r="A187" s="5">
        <f>D187-273.15-10</f>
        <v>-49.149999999999977</v>
      </c>
      <c r="B187" s="44" t="s">
        <v>67</v>
      </c>
      <c r="C187" s="53">
        <v>54.07</v>
      </c>
      <c r="D187" s="34">
        <v>234</v>
      </c>
      <c r="E187" s="94">
        <v>4660.7</v>
      </c>
      <c r="F187" s="34">
        <v>0.19</v>
      </c>
      <c r="G187" s="5">
        <f>389.09-378.35</f>
        <v>10.739999999999952</v>
      </c>
      <c r="H187" s="5">
        <v>1150</v>
      </c>
      <c r="I187" s="5">
        <f>284.53-273.96</f>
        <v>10.569999999999993</v>
      </c>
      <c r="J187" s="5">
        <v>700</v>
      </c>
    </row>
    <row r="188" spans="1:10" ht="15.6" thickTop="1" thickBot="1" x14ac:dyDescent="0.35">
      <c r="A188" s="11">
        <f>D188-273.15-10</f>
        <v>-156.95799999999997</v>
      </c>
      <c r="B188" s="11" t="s">
        <v>83</v>
      </c>
      <c r="C188" s="54">
        <v>69.239999999999995</v>
      </c>
      <c r="D188" s="55">
        <f>126.192</f>
        <v>126.19199999999999</v>
      </c>
      <c r="E188" s="54">
        <v>3595.8</v>
      </c>
      <c r="F188" s="54">
        <v>0.22</v>
      </c>
      <c r="G188" s="54">
        <f>175.27-164.93</f>
        <v>10.340000000000003</v>
      </c>
      <c r="H188" s="54">
        <v>375</v>
      </c>
      <c r="I188" s="54">
        <f>324.93-314.3</f>
        <v>10.629999999999995</v>
      </c>
      <c r="J188" s="54">
        <v>400</v>
      </c>
    </row>
    <row r="189" spans="1:10" ht="15.6" thickTop="1" thickBot="1" x14ac:dyDescent="0.35">
      <c r="A189" s="11"/>
      <c r="B189" s="11"/>
      <c r="C189" s="54"/>
      <c r="D189" s="55"/>
      <c r="E189" s="54"/>
      <c r="F189" s="54"/>
      <c r="G189" s="54"/>
      <c r="H189" s="54"/>
      <c r="I189" s="54"/>
      <c r="J189" s="54"/>
    </row>
    <row r="190" spans="1:10" ht="19.2" thickTop="1" thickBot="1" x14ac:dyDescent="0.35">
      <c r="A190" s="135" t="s">
        <v>217</v>
      </c>
      <c r="B190" s="136"/>
      <c r="C190" s="136"/>
      <c r="D190" s="136"/>
      <c r="E190" s="136"/>
      <c r="F190" s="136"/>
      <c r="G190" s="136"/>
      <c r="H190" s="136"/>
      <c r="I190" s="136"/>
      <c r="J190" s="136"/>
    </row>
    <row r="191" spans="1:10" ht="42.6" thickTop="1" thickBot="1" x14ac:dyDescent="0.35">
      <c r="A191" s="77" t="s">
        <v>33</v>
      </c>
      <c r="B191" s="77" t="s">
        <v>15</v>
      </c>
      <c r="C191" s="77" t="s">
        <v>22</v>
      </c>
      <c r="D191" s="77" t="s">
        <v>17</v>
      </c>
      <c r="E191" s="77" t="s">
        <v>16</v>
      </c>
      <c r="F191" s="77" t="s">
        <v>28</v>
      </c>
      <c r="G191" s="77" t="s">
        <v>20</v>
      </c>
      <c r="H191" s="77" t="s">
        <v>29</v>
      </c>
      <c r="I191" s="77" t="s">
        <v>21</v>
      </c>
      <c r="J191" s="77" t="s">
        <v>30</v>
      </c>
    </row>
    <row r="192" spans="1:10" ht="15" thickBot="1" x14ac:dyDescent="0.35">
      <c r="A192" s="78">
        <f>D192-273.15-10</f>
        <v>20.980000000000018</v>
      </c>
      <c r="B192" s="78" t="s">
        <v>27</v>
      </c>
      <c r="C192" s="78">
        <v>42.9</v>
      </c>
      <c r="D192" s="79">
        <v>304.13</v>
      </c>
      <c r="E192" s="79">
        <v>7474.89</v>
      </c>
      <c r="F192" s="79">
        <v>0.31</v>
      </c>
      <c r="G192" s="78">
        <v>10.17</v>
      </c>
      <c r="H192" s="78">
        <v>900</v>
      </c>
      <c r="I192" s="78">
        <v>11.2</v>
      </c>
      <c r="J192" s="78">
        <v>700</v>
      </c>
    </row>
    <row r="193" spans="1:10" x14ac:dyDescent="0.3">
      <c r="A193" s="6">
        <f>D193-273.15-10</f>
        <v>13.439999999999998</v>
      </c>
      <c r="B193" s="8" t="s">
        <v>50</v>
      </c>
      <c r="C193" s="6">
        <v>43.49</v>
      </c>
      <c r="D193" s="7">
        <v>296.58999999999997</v>
      </c>
      <c r="E193" s="7">
        <v>7935.27</v>
      </c>
      <c r="F193" s="7">
        <v>0.26</v>
      </c>
      <c r="G193" s="6">
        <f>444.68-432.91</f>
        <v>11.769999999999982</v>
      </c>
      <c r="H193" s="6">
        <v>1000</v>
      </c>
      <c r="I193" s="6">
        <f>348.88-339.1</f>
        <v>9.7799999999999727</v>
      </c>
      <c r="J193" s="6">
        <v>800</v>
      </c>
    </row>
    <row r="194" spans="1:10" x14ac:dyDescent="0.3">
      <c r="A194" s="6">
        <f t="shared" ref="A194:A198" si="20">D194-273.15-10</f>
        <v>4.2400000000000091</v>
      </c>
      <c r="B194" s="8" t="s">
        <v>51</v>
      </c>
      <c r="C194" s="6">
        <v>45.05</v>
      </c>
      <c r="D194" s="7">
        <v>287.39</v>
      </c>
      <c r="E194" s="7">
        <v>7851.58</v>
      </c>
      <c r="F194" s="7">
        <v>0.25</v>
      </c>
      <c r="G194" s="6">
        <f>439.42-427.72</f>
        <v>11.699999999999989</v>
      </c>
      <c r="H194" s="6">
        <v>1200</v>
      </c>
      <c r="I194" s="6">
        <f>339.92-330.16</f>
        <v>9.7599999999999909</v>
      </c>
      <c r="J194" s="6">
        <v>900</v>
      </c>
    </row>
    <row r="195" spans="1:10" x14ac:dyDescent="0.3">
      <c r="A195" s="6">
        <f t="shared" si="20"/>
        <v>-5.4599999999999795</v>
      </c>
      <c r="B195" s="8" t="s">
        <v>52</v>
      </c>
      <c r="C195" s="6">
        <v>46.21</v>
      </c>
      <c r="D195" s="7">
        <v>277.69</v>
      </c>
      <c r="E195" s="7">
        <v>7482.4</v>
      </c>
      <c r="F195" s="7">
        <v>0.23</v>
      </c>
      <c r="G195" s="6">
        <f>427.9-415.79</f>
        <v>12.109999999999957</v>
      </c>
      <c r="H195" s="6">
        <v>1100</v>
      </c>
      <c r="I195" s="6">
        <f>329.99-320.17</f>
        <v>9.8199999999999932</v>
      </c>
      <c r="J195" s="6">
        <v>850</v>
      </c>
    </row>
    <row r="196" spans="1:10" x14ac:dyDescent="0.3">
      <c r="A196" s="6">
        <f t="shared" si="20"/>
        <v>-8.3599999999999568</v>
      </c>
      <c r="B196" s="8" t="s">
        <v>71</v>
      </c>
      <c r="C196" s="6">
        <v>46.48</v>
      </c>
      <c r="D196" s="7">
        <v>274.79000000000002</v>
      </c>
      <c r="E196" s="7">
        <v>7231.16</v>
      </c>
      <c r="F196" s="7">
        <v>0.22</v>
      </c>
      <c r="G196" s="6">
        <f>418.96-408.28</f>
        <v>10.680000000000007</v>
      </c>
      <c r="H196" s="6">
        <v>1150</v>
      </c>
      <c r="I196" s="6">
        <f>329.44-319.59</f>
        <v>9.8500000000000227</v>
      </c>
      <c r="J196" s="6">
        <v>750</v>
      </c>
    </row>
    <row r="197" spans="1:10" x14ac:dyDescent="0.3">
      <c r="A197" s="6">
        <f t="shared" si="20"/>
        <v>-14.96999999999997</v>
      </c>
      <c r="B197" s="8" t="s">
        <v>53</v>
      </c>
      <c r="C197" s="6">
        <v>47.45</v>
      </c>
      <c r="D197" s="7">
        <v>268.18</v>
      </c>
      <c r="E197" s="7">
        <v>6935.24</v>
      </c>
      <c r="F197" s="7">
        <v>0.22</v>
      </c>
      <c r="G197" s="6">
        <f>411.72-400.89</f>
        <v>10.830000000000041</v>
      </c>
      <c r="H197" s="6">
        <v>1140</v>
      </c>
      <c r="I197" s="6">
        <f>321.8-310.83</f>
        <v>10.970000000000027</v>
      </c>
      <c r="J197" s="6">
        <v>700</v>
      </c>
    </row>
    <row r="198" spans="1:10" x14ac:dyDescent="0.3">
      <c r="A198" s="6">
        <f t="shared" si="20"/>
        <v>-18.589999999999975</v>
      </c>
      <c r="B198" s="6" t="s">
        <v>70</v>
      </c>
      <c r="C198" s="7">
        <v>48.45</v>
      </c>
      <c r="D198" s="4">
        <v>264.56</v>
      </c>
      <c r="E198" s="4">
        <v>6695.28</v>
      </c>
      <c r="F198" s="4">
        <v>0.22</v>
      </c>
      <c r="G198" s="6">
        <f>414.23-403.44</f>
        <v>10.79000000000002</v>
      </c>
      <c r="H198" s="6">
        <v>1150</v>
      </c>
      <c r="I198" s="6">
        <f>317.05-307.37</f>
        <v>9.6800000000000068</v>
      </c>
      <c r="J198" s="6">
        <v>800</v>
      </c>
    </row>
    <row r="199" spans="1:10" x14ac:dyDescent="0.3">
      <c r="A199" s="6">
        <f>D199-273.15-10</f>
        <v>-28.519999999999982</v>
      </c>
      <c r="B199" s="6" t="s">
        <v>69</v>
      </c>
      <c r="C199" s="7">
        <v>50.36</v>
      </c>
      <c r="D199" s="4">
        <v>254.63</v>
      </c>
      <c r="E199" s="4">
        <v>5998.71</v>
      </c>
      <c r="F199" s="4">
        <v>0.22</v>
      </c>
      <c r="G199" s="15">
        <f>408.89-398.87</f>
        <v>10.019999999999982</v>
      </c>
      <c r="H199" s="4">
        <v>1150</v>
      </c>
      <c r="I199" s="6">
        <f>307.33-297.64</f>
        <v>9.6899999999999977</v>
      </c>
      <c r="J199" s="4">
        <v>800</v>
      </c>
    </row>
    <row r="200" spans="1:10" x14ac:dyDescent="0.3">
      <c r="A200" s="6">
        <f>D200-273.15-10</f>
        <v>-37.899999999999977</v>
      </c>
      <c r="B200" s="6" t="s">
        <v>68</v>
      </c>
      <c r="C200" s="7">
        <v>52.25</v>
      </c>
      <c r="D200" s="4">
        <v>245.25</v>
      </c>
      <c r="E200" s="4">
        <v>5348.84</v>
      </c>
      <c r="F200" s="4">
        <v>0.22</v>
      </c>
      <c r="G200" s="15">
        <f>404.66-394.95</f>
        <v>9.7100000000000364</v>
      </c>
      <c r="H200" s="4">
        <v>1150</v>
      </c>
      <c r="I200" s="15">
        <f>297.13-287.24</f>
        <v>9.8899999999999864</v>
      </c>
      <c r="J200" s="4">
        <v>800</v>
      </c>
    </row>
    <row r="201" spans="1:10" ht="15" thickBot="1" x14ac:dyDescent="0.35">
      <c r="A201" s="6">
        <f>D201-273.15-10</f>
        <v>-42.939999999999969</v>
      </c>
      <c r="B201" s="6" t="s">
        <v>82</v>
      </c>
      <c r="C201" s="6">
        <v>53.55</v>
      </c>
      <c r="D201" s="6">
        <v>240.21</v>
      </c>
      <c r="E201" s="6">
        <v>5024.3</v>
      </c>
      <c r="F201" s="6">
        <v>0.22</v>
      </c>
      <c r="G201" s="6">
        <f>415.72-404.34</f>
        <v>11.380000000000052</v>
      </c>
      <c r="H201" s="6">
        <v>1100</v>
      </c>
      <c r="I201" s="6">
        <f>290.28-281.17</f>
        <v>9.1099999999999568</v>
      </c>
      <c r="J201" s="6">
        <v>1000</v>
      </c>
    </row>
    <row r="202" spans="1:10" x14ac:dyDescent="0.3">
      <c r="A202" s="88">
        <f t="shared" ref="A202:A204" si="21">D202-273.15-10</f>
        <v>-283.14999999999998</v>
      </c>
      <c r="B202" s="87" t="s">
        <v>225</v>
      </c>
      <c r="C202" s="86"/>
      <c r="D202" s="86"/>
      <c r="E202" s="86"/>
      <c r="F202" s="86"/>
      <c r="G202" s="86"/>
      <c r="H202" s="86"/>
      <c r="I202" s="86"/>
      <c r="J202" s="86"/>
    </row>
    <row r="203" spans="1:10" x14ac:dyDescent="0.3">
      <c r="A203" s="67">
        <f t="shared" si="21"/>
        <v>-283.14999999999998</v>
      </c>
      <c r="B203" s="65" t="s">
        <v>224</v>
      </c>
      <c r="C203" s="64"/>
      <c r="D203" s="64"/>
      <c r="E203" s="64"/>
      <c r="F203" s="64"/>
      <c r="G203" s="64"/>
      <c r="H203" s="64"/>
      <c r="I203" s="64"/>
      <c r="J203" s="64"/>
    </row>
    <row r="204" spans="1:10" x14ac:dyDescent="0.3">
      <c r="A204" s="67">
        <f t="shared" si="21"/>
        <v>-283.14999999999998</v>
      </c>
      <c r="B204" s="65" t="s">
        <v>223</v>
      </c>
      <c r="C204" s="64"/>
      <c r="D204" s="64"/>
      <c r="E204" s="64"/>
      <c r="F204" s="64"/>
      <c r="G204" s="64"/>
      <c r="H204" s="64"/>
      <c r="I204" s="64"/>
      <c r="J204" s="64"/>
    </row>
    <row r="205" spans="1:10" x14ac:dyDescent="0.3">
      <c r="A205" s="67">
        <f>D205-273.15-10</f>
        <v>-283.14999999999998</v>
      </c>
      <c r="B205" s="65" t="s">
        <v>222</v>
      </c>
      <c r="C205" s="67"/>
      <c r="D205" s="65"/>
      <c r="E205" s="67"/>
      <c r="F205" s="65"/>
      <c r="G205" s="67"/>
      <c r="H205" s="65"/>
      <c r="I205" s="67"/>
      <c r="J205" s="65"/>
    </row>
    <row r="206" spans="1:10" x14ac:dyDescent="0.3">
      <c r="A206" s="67">
        <f>D206-273.15-10</f>
        <v>-283.14999999999998</v>
      </c>
      <c r="B206" s="65" t="s">
        <v>221</v>
      </c>
      <c r="C206" s="67"/>
      <c r="D206" s="65"/>
      <c r="E206" s="67"/>
      <c r="F206" s="65"/>
      <c r="G206" s="67"/>
      <c r="H206" s="65"/>
      <c r="I206" s="67"/>
      <c r="J206" s="65"/>
    </row>
    <row r="207" spans="1:10" x14ac:dyDescent="0.3">
      <c r="A207" s="67">
        <f>D207-273.15-10</f>
        <v>-10.639999999999986</v>
      </c>
      <c r="B207" s="65" t="s">
        <v>220</v>
      </c>
      <c r="C207" s="67">
        <v>46.15</v>
      </c>
      <c r="D207" s="65">
        <v>272.51</v>
      </c>
      <c r="E207" s="67">
        <v>9594.07</v>
      </c>
      <c r="F207" s="65">
        <v>0.21</v>
      </c>
      <c r="G207" s="67">
        <f>402.88-392.07</f>
        <v>10.810000000000002</v>
      </c>
      <c r="H207" s="65">
        <v>1300</v>
      </c>
      <c r="I207" s="67">
        <f>318.24-308.83</f>
        <v>9.410000000000025</v>
      </c>
      <c r="J207" s="65">
        <v>1200</v>
      </c>
    </row>
    <row r="208" spans="1:10" x14ac:dyDescent="0.3">
      <c r="A208" s="67">
        <f>D208-273.15-10</f>
        <v>-283.14999999999998</v>
      </c>
      <c r="B208" s="65" t="s">
        <v>219</v>
      </c>
      <c r="C208" s="67"/>
      <c r="D208" s="65"/>
      <c r="E208" s="67"/>
      <c r="F208" s="65"/>
      <c r="G208" s="67"/>
      <c r="H208" s="65"/>
      <c r="I208" s="67"/>
      <c r="J208" s="65"/>
    </row>
    <row r="209" spans="1:10" ht="15" thickBot="1" x14ac:dyDescent="0.35">
      <c r="A209" s="91">
        <f>D209-273.15-10</f>
        <v>-283.14999999999998</v>
      </c>
      <c r="B209" s="90" t="s">
        <v>218</v>
      </c>
      <c r="C209" s="91"/>
      <c r="D209" s="90"/>
      <c r="E209" s="91"/>
      <c r="F209" s="90"/>
      <c r="G209" s="91"/>
      <c r="H209" s="90"/>
      <c r="I209" s="91"/>
      <c r="J209" s="90"/>
    </row>
    <row r="210" spans="1:10" x14ac:dyDescent="0.3">
      <c r="A210" s="74">
        <f t="shared" ref="A210" si="22">D210-273.15-10</f>
        <v>-29.149999999999977</v>
      </c>
      <c r="B210" s="74" t="s">
        <v>67</v>
      </c>
      <c r="C210" s="75">
        <v>47.22</v>
      </c>
      <c r="D210" s="75">
        <v>254</v>
      </c>
      <c r="E210" s="87">
        <v>7460.7</v>
      </c>
      <c r="F210" s="75">
        <v>0.05</v>
      </c>
      <c r="G210" s="76">
        <f>344.29-333.38</f>
        <v>10.910000000000025</v>
      </c>
      <c r="H210" s="75">
        <v>1800</v>
      </c>
      <c r="I210" s="74">
        <f>310.18-300.33</f>
        <v>9.8500000000000227</v>
      </c>
      <c r="J210" s="75">
        <v>400</v>
      </c>
    </row>
    <row r="211" spans="1:10" x14ac:dyDescent="0.3">
      <c r="A211" s="6">
        <f>D211-273.15-10</f>
        <v>-39.149999999999977</v>
      </c>
      <c r="B211" s="6" t="s">
        <v>67</v>
      </c>
      <c r="C211" s="31">
        <v>50.54</v>
      </c>
      <c r="D211" s="7">
        <v>244</v>
      </c>
      <c r="E211" s="65">
        <v>6060.7</v>
      </c>
      <c r="F211" s="7">
        <v>0.14000000000000001</v>
      </c>
      <c r="G211" s="6">
        <f>374.22-363.7</f>
        <v>10.520000000000039</v>
      </c>
      <c r="H211" s="6">
        <v>1500</v>
      </c>
      <c r="I211" s="6">
        <f>301.76-290.8</f>
        <v>10.95999999999998</v>
      </c>
      <c r="J211" s="6">
        <v>600</v>
      </c>
    </row>
    <row r="212" spans="1:10" ht="15" thickBot="1" x14ac:dyDescent="0.35">
      <c r="A212" s="5">
        <f>D212-273.15-10</f>
        <v>-49.149999999999977</v>
      </c>
      <c r="B212" s="44" t="s">
        <v>67</v>
      </c>
      <c r="C212" s="53">
        <v>54.07</v>
      </c>
      <c r="D212" s="34">
        <v>234</v>
      </c>
      <c r="E212" s="94">
        <v>4660.7</v>
      </c>
      <c r="F212" s="34">
        <v>0.19</v>
      </c>
      <c r="G212" s="5">
        <f>389.09-378.35</f>
        <v>10.739999999999952</v>
      </c>
      <c r="H212" s="5">
        <v>1150</v>
      </c>
      <c r="I212" s="5">
        <f>284.53-273.96</f>
        <v>10.569999999999993</v>
      </c>
      <c r="J212" s="5">
        <v>700</v>
      </c>
    </row>
    <row r="213" spans="1:10" ht="15.6" thickTop="1" thickBot="1" x14ac:dyDescent="0.35">
      <c r="A213" s="11">
        <f>D213-273.15-10</f>
        <v>-156.95799999999997</v>
      </c>
      <c r="B213" s="11" t="s">
        <v>83</v>
      </c>
      <c r="C213" s="54">
        <v>69.239999999999995</v>
      </c>
      <c r="D213" s="55">
        <f>126.192</f>
        <v>126.19199999999999</v>
      </c>
      <c r="E213" s="54">
        <v>3595.8</v>
      </c>
      <c r="F213" s="54">
        <v>0.22</v>
      </c>
      <c r="G213" s="54">
        <f>175.27-164.93</f>
        <v>10.340000000000003</v>
      </c>
      <c r="H213" s="54">
        <v>375</v>
      </c>
      <c r="I213" s="54">
        <f>324.93-314.3</f>
        <v>10.629999999999995</v>
      </c>
      <c r="J213" s="54">
        <v>400</v>
      </c>
    </row>
    <row r="214" spans="1:10" ht="15.6" thickTop="1" thickBot="1" x14ac:dyDescent="0.35">
      <c r="A214" s="11"/>
      <c r="B214" s="11"/>
      <c r="C214" s="54"/>
      <c r="D214" s="55"/>
      <c r="E214" s="54"/>
      <c r="F214" s="54"/>
      <c r="G214" s="54"/>
      <c r="H214" s="54"/>
      <c r="I214" s="54"/>
      <c r="J214" s="54"/>
    </row>
    <row r="215" spans="1:10" ht="19.2" thickTop="1" thickBot="1" x14ac:dyDescent="0.35">
      <c r="A215" s="135" t="s">
        <v>226</v>
      </c>
      <c r="B215" s="136"/>
      <c r="C215" s="136"/>
      <c r="D215" s="136"/>
      <c r="E215" s="136"/>
      <c r="F215" s="136"/>
      <c r="G215" s="136"/>
      <c r="H215" s="136"/>
      <c r="I215" s="136"/>
      <c r="J215" s="136"/>
    </row>
    <row r="216" spans="1:10" ht="42.6" thickTop="1" thickBot="1" x14ac:dyDescent="0.35">
      <c r="A216" s="77" t="s">
        <v>33</v>
      </c>
      <c r="B216" s="77" t="s">
        <v>15</v>
      </c>
      <c r="C216" s="77" t="s">
        <v>22</v>
      </c>
      <c r="D216" s="77" t="s">
        <v>17</v>
      </c>
      <c r="E216" s="77" t="s">
        <v>16</v>
      </c>
      <c r="F216" s="77" t="s">
        <v>28</v>
      </c>
      <c r="G216" s="77" t="s">
        <v>20</v>
      </c>
      <c r="H216" s="77" t="s">
        <v>29</v>
      </c>
      <c r="I216" s="77" t="s">
        <v>21</v>
      </c>
      <c r="J216" s="77" t="s">
        <v>30</v>
      </c>
    </row>
    <row r="217" spans="1:10" ht="15" thickBot="1" x14ac:dyDescent="0.35">
      <c r="A217" s="78">
        <f t="shared" ref="A217:A225" si="23">D217-273.15-10</f>
        <v>20.980000000000018</v>
      </c>
      <c r="B217" s="78" t="s">
        <v>27</v>
      </c>
      <c r="C217" s="78">
        <v>42.9</v>
      </c>
      <c r="D217" s="79">
        <v>304.13</v>
      </c>
      <c r="E217" s="79">
        <v>7474.89</v>
      </c>
      <c r="F217" s="79">
        <v>0.31</v>
      </c>
      <c r="G217" s="78">
        <v>10.17</v>
      </c>
      <c r="H217" s="78">
        <v>900</v>
      </c>
      <c r="I217" s="78">
        <v>11.2</v>
      </c>
      <c r="J217" s="78">
        <v>700</v>
      </c>
    </row>
    <row r="218" spans="1:10" ht="13.8" customHeight="1" x14ac:dyDescent="0.3">
      <c r="A218" s="64">
        <f t="shared" si="23"/>
        <v>-283.14999999999998</v>
      </c>
      <c r="B218" s="64" t="s">
        <v>228</v>
      </c>
      <c r="C218" s="65"/>
      <c r="D218" s="65"/>
      <c r="E218" s="65"/>
      <c r="F218" s="65"/>
      <c r="G218" s="64"/>
      <c r="H218" s="64"/>
      <c r="I218" s="64"/>
      <c r="J218" s="64"/>
    </row>
    <row r="219" spans="1:10" ht="13.8" customHeight="1" x14ac:dyDescent="0.3">
      <c r="A219" s="64">
        <f t="shared" si="23"/>
        <v>-283.14999999999998</v>
      </c>
      <c r="B219" s="64" t="s">
        <v>229</v>
      </c>
      <c r="C219" s="65"/>
      <c r="D219" s="65"/>
      <c r="E219" s="65"/>
      <c r="F219" s="65"/>
      <c r="G219" s="64"/>
      <c r="H219" s="64"/>
      <c r="I219" s="64"/>
      <c r="J219" s="64"/>
    </row>
    <row r="220" spans="1:10" ht="13.8" customHeight="1" x14ac:dyDescent="0.3">
      <c r="A220" s="64">
        <f t="shared" si="23"/>
        <v>-283.14999999999998</v>
      </c>
      <c r="B220" s="64" t="s">
        <v>231</v>
      </c>
      <c r="C220" s="65"/>
      <c r="D220" s="65"/>
      <c r="E220" s="65"/>
      <c r="F220" s="65"/>
      <c r="G220" s="64"/>
      <c r="H220" s="64"/>
      <c r="I220" s="64"/>
      <c r="J220" s="64"/>
    </row>
    <row r="221" spans="1:10" ht="13.8" customHeight="1" x14ac:dyDescent="0.3">
      <c r="A221" s="64">
        <f t="shared" si="23"/>
        <v>-283.14999999999998</v>
      </c>
      <c r="B221" s="64" t="s">
        <v>232</v>
      </c>
      <c r="C221" s="65"/>
      <c r="D221" s="65"/>
      <c r="E221" s="65"/>
      <c r="F221" s="65"/>
      <c r="G221" s="64"/>
      <c r="H221" s="64"/>
      <c r="I221" s="64"/>
      <c r="J221" s="64"/>
    </row>
    <row r="222" spans="1:10" ht="13.8" customHeight="1" x14ac:dyDescent="0.3">
      <c r="A222" s="64">
        <f t="shared" si="23"/>
        <v>-283.14999999999998</v>
      </c>
      <c r="B222" s="64" t="s">
        <v>233</v>
      </c>
      <c r="C222" s="65"/>
      <c r="D222" s="65"/>
      <c r="E222" s="65"/>
      <c r="F222" s="65"/>
      <c r="G222" s="64"/>
      <c r="H222" s="64"/>
      <c r="I222" s="64"/>
      <c r="J222" s="64"/>
    </row>
    <row r="223" spans="1:10" ht="13.8" customHeight="1" x14ac:dyDescent="0.3">
      <c r="A223" s="64">
        <f t="shared" si="23"/>
        <v>-283.14999999999998</v>
      </c>
      <c r="B223" s="64" t="s">
        <v>234</v>
      </c>
      <c r="C223" s="65"/>
      <c r="D223" s="65"/>
      <c r="E223" s="65"/>
      <c r="F223" s="65"/>
      <c r="G223" s="64"/>
      <c r="H223" s="64"/>
      <c r="I223" s="64"/>
      <c r="J223" s="64"/>
    </row>
    <row r="224" spans="1:10" ht="13.8" customHeight="1" x14ac:dyDescent="0.3">
      <c r="A224" s="64">
        <f t="shared" si="23"/>
        <v>-283.14999999999998</v>
      </c>
      <c r="B224" s="64" t="s">
        <v>230</v>
      </c>
      <c r="C224" s="65"/>
      <c r="D224" s="65"/>
      <c r="E224" s="65"/>
      <c r="F224" s="65"/>
      <c r="G224" s="64"/>
      <c r="H224" s="64"/>
      <c r="I224" s="64"/>
      <c r="J224" s="64"/>
    </row>
    <row r="225" spans="1:10" ht="13.8" customHeight="1" thickBot="1" x14ac:dyDescent="0.35">
      <c r="A225" s="93">
        <f t="shared" si="23"/>
        <v>-283.14999999999998</v>
      </c>
      <c r="B225" s="93" t="s">
        <v>216</v>
      </c>
      <c r="C225" s="94"/>
      <c r="D225" s="94"/>
      <c r="E225" s="94"/>
      <c r="F225" s="94"/>
      <c r="G225" s="93"/>
      <c r="H225" s="93"/>
      <c r="I225" s="93"/>
      <c r="J225" s="93"/>
    </row>
    <row r="226" spans="1:10" ht="15.6" thickTop="1" thickBot="1" x14ac:dyDescent="0.35"/>
    <row r="227" spans="1:10" ht="19.2" thickTop="1" thickBot="1" x14ac:dyDescent="0.35">
      <c r="A227" s="135" t="s">
        <v>227</v>
      </c>
      <c r="B227" s="136"/>
      <c r="C227" s="136"/>
      <c r="D227" s="136"/>
      <c r="E227" s="136"/>
      <c r="F227" s="136"/>
      <c r="G227" s="136"/>
      <c r="H227" s="136"/>
      <c r="I227" s="136"/>
      <c r="J227" s="136"/>
    </row>
    <row r="228" spans="1:10" ht="42.6" thickTop="1" thickBot="1" x14ac:dyDescent="0.35">
      <c r="A228" s="77" t="s">
        <v>33</v>
      </c>
      <c r="B228" s="77" t="s">
        <v>15</v>
      </c>
      <c r="C228" s="77" t="s">
        <v>22</v>
      </c>
      <c r="D228" s="77" t="s">
        <v>17</v>
      </c>
      <c r="E228" s="77" t="s">
        <v>16</v>
      </c>
      <c r="F228" s="77" t="s">
        <v>28</v>
      </c>
      <c r="G228" s="77" t="s">
        <v>20</v>
      </c>
      <c r="H228" s="77" t="s">
        <v>29</v>
      </c>
      <c r="I228" s="77" t="s">
        <v>21</v>
      </c>
      <c r="J228" s="77" t="s">
        <v>30</v>
      </c>
    </row>
    <row r="229" spans="1:10" ht="15" thickBot="1" x14ac:dyDescent="0.35">
      <c r="A229" s="78">
        <f t="shared" ref="A229:A237" si="24">D229-273.15-10</f>
        <v>20.980000000000018</v>
      </c>
      <c r="B229" s="78" t="s">
        <v>27</v>
      </c>
      <c r="C229" s="78">
        <v>42.9</v>
      </c>
      <c r="D229" s="79">
        <v>304.13</v>
      </c>
      <c r="E229" s="79">
        <v>7474.89</v>
      </c>
      <c r="F229" s="79">
        <v>0.31</v>
      </c>
      <c r="G229" s="78">
        <v>10.17</v>
      </c>
      <c r="H229" s="78">
        <v>900</v>
      </c>
      <c r="I229" s="78">
        <v>11.2</v>
      </c>
      <c r="J229" s="78">
        <v>700</v>
      </c>
    </row>
    <row r="230" spans="1:10" ht="13.2" customHeight="1" x14ac:dyDescent="0.3">
      <c r="A230" s="64">
        <f t="shared" si="24"/>
        <v>-283.14999999999998</v>
      </c>
      <c r="B230" s="64" t="s">
        <v>235</v>
      </c>
      <c r="C230" s="65"/>
      <c r="D230" s="65"/>
      <c r="E230" s="65"/>
      <c r="F230" s="65"/>
      <c r="G230" s="64"/>
      <c r="H230" s="64"/>
      <c r="I230" s="64"/>
      <c r="J230" s="64"/>
    </row>
    <row r="231" spans="1:10" ht="13.2" customHeight="1" x14ac:dyDescent="0.3">
      <c r="A231" s="64">
        <f t="shared" si="24"/>
        <v>-283.14999999999998</v>
      </c>
      <c r="B231" s="64" t="s">
        <v>236</v>
      </c>
      <c r="C231" s="65"/>
      <c r="D231" s="65"/>
      <c r="E231" s="65"/>
      <c r="F231" s="65"/>
      <c r="G231" s="64"/>
      <c r="H231" s="64"/>
      <c r="I231" s="64"/>
      <c r="J231" s="64"/>
    </row>
    <row r="232" spans="1:10" ht="13.2" customHeight="1" x14ac:dyDescent="0.3">
      <c r="A232" s="64">
        <f t="shared" si="24"/>
        <v>-283.14999999999998</v>
      </c>
      <c r="B232" s="64" t="s">
        <v>237</v>
      </c>
      <c r="C232" s="65"/>
      <c r="D232" s="65"/>
      <c r="E232" s="65"/>
      <c r="F232" s="65"/>
      <c r="G232" s="64"/>
      <c r="H232" s="64"/>
      <c r="I232" s="64"/>
      <c r="J232" s="64"/>
    </row>
    <row r="233" spans="1:10" ht="13.2" customHeight="1" x14ac:dyDescent="0.3">
      <c r="A233" s="64">
        <f t="shared" si="24"/>
        <v>-283.14999999999998</v>
      </c>
      <c r="B233" s="64" t="s">
        <v>238</v>
      </c>
      <c r="C233" s="65"/>
      <c r="D233" s="65"/>
      <c r="E233" s="65"/>
      <c r="F233" s="65"/>
      <c r="G233" s="64"/>
      <c r="H233" s="64"/>
      <c r="I233" s="64"/>
      <c r="J233" s="64"/>
    </row>
    <row r="234" spans="1:10" ht="13.2" customHeight="1" x14ac:dyDescent="0.3">
      <c r="A234" s="64">
        <f t="shared" si="24"/>
        <v>-283.14999999999998</v>
      </c>
      <c r="B234" s="64" t="s">
        <v>239</v>
      </c>
      <c r="C234" s="65"/>
      <c r="D234" s="65"/>
      <c r="E234" s="65"/>
      <c r="F234" s="65"/>
      <c r="G234" s="64"/>
      <c r="H234" s="64"/>
      <c r="I234" s="64"/>
      <c r="J234" s="64"/>
    </row>
    <row r="235" spans="1:10" ht="13.2" customHeight="1" x14ac:dyDescent="0.3">
      <c r="A235" s="64">
        <f t="shared" si="24"/>
        <v>-283.14999999999998</v>
      </c>
      <c r="B235" s="64" t="s">
        <v>240</v>
      </c>
      <c r="C235" s="65"/>
      <c r="D235" s="65"/>
      <c r="E235" s="65"/>
      <c r="F235" s="65"/>
      <c r="G235" s="64"/>
      <c r="H235" s="64"/>
      <c r="I235" s="64"/>
      <c r="J235" s="64"/>
    </row>
    <row r="236" spans="1:10" ht="13.2" customHeight="1" x14ac:dyDescent="0.3">
      <c r="A236" s="64">
        <f t="shared" si="24"/>
        <v>-283.14999999999998</v>
      </c>
      <c r="B236" s="64" t="s">
        <v>241</v>
      </c>
      <c r="C236" s="65"/>
      <c r="D236" s="65"/>
      <c r="E236" s="65"/>
      <c r="F236" s="65"/>
      <c r="G236" s="64"/>
      <c r="H236" s="64"/>
      <c r="I236" s="64"/>
      <c r="J236" s="64"/>
    </row>
    <row r="237" spans="1:10" ht="13.2" customHeight="1" thickBot="1" x14ac:dyDescent="0.35">
      <c r="A237" s="93">
        <f t="shared" si="24"/>
        <v>-283.14999999999998</v>
      </c>
      <c r="B237" s="93" t="s">
        <v>225</v>
      </c>
      <c r="C237" s="94"/>
      <c r="D237" s="94"/>
      <c r="E237" s="94"/>
      <c r="F237" s="94"/>
      <c r="G237" s="93"/>
      <c r="H237" s="93"/>
      <c r="I237" s="93"/>
      <c r="J237" s="93"/>
    </row>
    <row r="238" spans="1:10" ht="15.6" thickTop="1" thickBot="1" x14ac:dyDescent="0.35"/>
    <row r="239" spans="1:10" ht="19.2" thickTop="1" thickBot="1" x14ac:dyDescent="0.35">
      <c r="A239" s="135" t="s">
        <v>242</v>
      </c>
      <c r="B239" s="136"/>
      <c r="C239" s="136"/>
      <c r="D239" s="136"/>
      <c r="E239" s="136"/>
      <c r="F239" s="136"/>
      <c r="G239" s="136"/>
      <c r="H239" s="136"/>
      <c r="I239" s="136"/>
      <c r="J239" s="136"/>
    </row>
    <row r="240" spans="1:10" ht="42.6" thickTop="1" thickBot="1" x14ac:dyDescent="0.35">
      <c r="A240" s="77" t="s">
        <v>33</v>
      </c>
      <c r="B240" s="77" t="s">
        <v>15</v>
      </c>
      <c r="C240" s="77" t="s">
        <v>22</v>
      </c>
      <c r="D240" s="77" t="s">
        <v>17</v>
      </c>
      <c r="E240" s="77" t="s">
        <v>16</v>
      </c>
      <c r="F240" s="77" t="s">
        <v>28</v>
      </c>
      <c r="G240" s="77" t="s">
        <v>20</v>
      </c>
      <c r="H240" s="77" t="s">
        <v>29</v>
      </c>
      <c r="I240" s="77" t="s">
        <v>21</v>
      </c>
      <c r="J240" s="77" t="s">
        <v>30</v>
      </c>
    </row>
    <row r="241" spans="1:10" ht="15" thickBot="1" x14ac:dyDescent="0.35">
      <c r="A241" s="78">
        <f t="shared" ref="A241:A249" si="25">D241-273.15-10</f>
        <v>20.980000000000018</v>
      </c>
      <c r="B241" s="78" t="s">
        <v>27</v>
      </c>
      <c r="C241" s="78">
        <v>42.9</v>
      </c>
      <c r="D241" s="79">
        <v>304.13</v>
      </c>
      <c r="E241" s="79">
        <v>7474.89</v>
      </c>
      <c r="F241" s="79">
        <v>0.31</v>
      </c>
      <c r="G241" s="78">
        <v>10.17</v>
      </c>
      <c r="H241" s="78">
        <v>900</v>
      </c>
      <c r="I241" s="78">
        <v>11.2</v>
      </c>
      <c r="J241" s="78">
        <v>700</v>
      </c>
    </row>
    <row r="242" spans="1:10" ht="13.8" customHeight="1" x14ac:dyDescent="0.3">
      <c r="A242" s="64">
        <f t="shared" si="25"/>
        <v>-283.14999999999998</v>
      </c>
      <c r="B242" s="64" t="s">
        <v>244</v>
      </c>
      <c r="C242" s="65"/>
      <c r="D242" s="65"/>
      <c r="E242" s="65"/>
      <c r="F242" s="65"/>
      <c r="G242" s="64"/>
      <c r="H242" s="64"/>
      <c r="I242" s="64"/>
      <c r="J242" s="64"/>
    </row>
    <row r="243" spans="1:10" ht="13.8" customHeight="1" x14ac:dyDescent="0.3">
      <c r="A243" s="64">
        <f t="shared" si="25"/>
        <v>-283.14999999999998</v>
      </c>
      <c r="B243" s="64" t="s">
        <v>245</v>
      </c>
      <c r="C243" s="65"/>
      <c r="D243" s="65"/>
      <c r="E243" s="65"/>
      <c r="F243" s="65"/>
      <c r="G243" s="64"/>
      <c r="H243" s="64"/>
      <c r="I243" s="64"/>
      <c r="J243" s="64"/>
    </row>
    <row r="244" spans="1:10" ht="13.8" customHeight="1" x14ac:dyDescent="0.3">
      <c r="A244" s="64">
        <f t="shared" si="25"/>
        <v>-283.14999999999998</v>
      </c>
      <c r="B244" s="64" t="s">
        <v>246</v>
      </c>
      <c r="C244" s="65"/>
      <c r="D244" s="65"/>
      <c r="E244" s="65"/>
      <c r="F244" s="65"/>
      <c r="G244" s="64"/>
      <c r="H244" s="64"/>
      <c r="I244" s="64"/>
      <c r="J244" s="64"/>
    </row>
    <row r="245" spans="1:10" ht="13.8" customHeight="1" x14ac:dyDescent="0.3">
      <c r="A245" s="64">
        <f t="shared" si="25"/>
        <v>-283.14999999999998</v>
      </c>
      <c r="B245" s="64" t="s">
        <v>247</v>
      </c>
      <c r="C245" s="65"/>
      <c r="D245" s="65"/>
      <c r="E245" s="65"/>
      <c r="F245" s="65"/>
      <c r="G245" s="64"/>
      <c r="H245" s="64"/>
      <c r="I245" s="64"/>
      <c r="J245" s="64"/>
    </row>
    <row r="246" spans="1:10" ht="13.8" customHeight="1" x14ac:dyDescent="0.3">
      <c r="A246" s="64">
        <f t="shared" si="25"/>
        <v>-283.14999999999998</v>
      </c>
      <c r="B246" s="64" t="s">
        <v>248</v>
      </c>
      <c r="C246" s="65"/>
      <c r="D246" s="65"/>
      <c r="E246" s="65"/>
      <c r="F246" s="65"/>
      <c r="G246" s="64"/>
      <c r="H246" s="64"/>
      <c r="I246" s="64"/>
      <c r="J246" s="64"/>
    </row>
    <row r="247" spans="1:10" ht="13.8" customHeight="1" x14ac:dyDescent="0.3">
      <c r="A247" s="64">
        <f t="shared" si="25"/>
        <v>-283.14999999999998</v>
      </c>
      <c r="B247" s="64" t="s">
        <v>249</v>
      </c>
      <c r="C247" s="65"/>
      <c r="D247" s="65"/>
      <c r="E247" s="65"/>
      <c r="F247" s="65"/>
      <c r="G247" s="64"/>
      <c r="H247" s="64"/>
      <c r="I247" s="64"/>
      <c r="J247" s="64"/>
    </row>
    <row r="248" spans="1:10" ht="13.8" customHeight="1" x14ac:dyDescent="0.3">
      <c r="A248" s="64">
        <f t="shared" si="25"/>
        <v>-283.14999999999998</v>
      </c>
      <c r="B248" s="64" t="s">
        <v>250</v>
      </c>
      <c r="C248" s="65"/>
      <c r="D248" s="65"/>
      <c r="E248" s="65"/>
      <c r="F248" s="65"/>
      <c r="G248" s="64"/>
      <c r="H248" s="64"/>
      <c r="I248" s="64"/>
      <c r="J248" s="64"/>
    </row>
    <row r="249" spans="1:10" ht="13.8" customHeight="1" thickBot="1" x14ac:dyDescent="0.35">
      <c r="A249" s="93">
        <f t="shared" si="25"/>
        <v>-283.14999999999998</v>
      </c>
      <c r="B249" s="93" t="s">
        <v>251</v>
      </c>
      <c r="C249" s="94"/>
      <c r="D249" s="94"/>
      <c r="E249" s="94"/>
      <c r="F249" s="94"/>
      <c r="G249" s="93"/>
      <c r="H249" s="93"/>
      <c r="I249" s="93"/>
      <c r="J249" s="93"/>
    </row>
    <row r="250" spans="1:10" ht="15.6" thickTop="1" thickBot="1" x14ac:dyDescent="0.35"/>
    <row r="251" spans="1:10" ht="19.2" thickTop="1" thickBot="1" x14ac:dyDescent="0.35">
      <c r="A251" s="135" t="s">
        <v>243</v>
      </c>
      <c r="B251" s="136"/>
      <c r="C251" s="136"/>
      <c r="D251" s="136"/>
      <c r="E251" s="136"/>
      <c r="F251" s="136"/>
      <c r="G251" s="136"/>
      <c r="H251" s="136"/>
      <c r="I251" s="136"/>
      <c r="J251" s="136"/>
    </row>
    <row r="252" spans="1:10" ht="42.6" thickTop="1" thickBot="1" x14ac:dyDescent="0.35">
      <c r="A252" s="77" t="s">
        <v>33</v>
      </c>
      <c r="B252" s="77" t="s">
        <v>15</v>
      </c>
      <c r="C252" s="77" t="s">
        <v>22</v>
      </c>
      <c r="D252" s="77" t="s">
        <v>17</v>
      </c>
      <c r="E252" s="77" t="s">
        <v>16</v>
      </c>
      <c r="F252" s="77" t="s">
        <v>28</v>
      </c>
      <c r="G252" s="77" t="s">
        <v>20</v>
      </c>
      <c r="H252" s="77" t="s">
        <v>29</v>
      </c>
      <c r="I252" s="77" t="s">
        <v>21</v>
      </c>
      <c r="J252" s="77" t="s">
        <v>30</v>
      </c>
    </row>
    <row r="253" spans="1:10" ht="15" thickBot="1" x14ac:dyDescent="0.35">
      <c r="A253" s="78">
        <f t="shared" ref="A253:A261" si="26">D253-273.15-10</f>
        <v>20.980000000000018</v>
      </c>
      <c r="B253" s="78" t="s">
        <v>27</v>
      </c>
      <c r="C253" s="78">
        <v>42.9</v>
      </c>
      <c r="D253" s="79">
        <v>304.13</v>
      </c>
      <c r="E253" s="79">
        <v>7474.89</v>
      </c>
      <c r="F253" s="79">
        <v>0.31</v>
      </c>
      <c r="G253" s="78">
        <v>10.17</v>
      </c>
      <c r="H253" s="78">
        <v>900</v>
      </c>
      <c r="I253" s="78">
        <v>11.2</v>
      </c>
      <c r="J253" s="78">
        <v>700</v>
      </c>
    </row>
    <row r="254" spans="1:10" ht="13.2" customHeight="1" x14ac:dyDescent="0.3">
      <c r="A254" s="64">
        <f t="shared" si="26"/>
        <v>-283.14999999999998</v>
      </c>
      <c r="B254" s="64" t="s">
        <v>235</v>
      </c>
      <c r="C254" s="65"/>
      <c r="D254" s="65"/>
      <c r="E254" s="65"/>
      <c r="F254" s="65"/>
      <c r="G254" s="64"/>
      <c r="H254" s="64"/>
      <c r="I254" s="64"/>
      <c r="J254" s="64"/>
    </row>
    <row r="255" spans="1:10" ht="13.2" customHeight="1" x14ac:dyDescent="0.3">
      <c r="A255" s="64">
        <f t="shared" si="26"/>
        <v>-283.14999999999998</v>
      </c>
      <c r="B255" s="64" t="s">
        <v>236</v>
      </c>
      <c r="C255" s="65"/>
      <c r="D255" s="65"/>
      <c r="E255" s="65"/>
      <c r="F255" s="65"/>
      <c r="G255" s="64"/>
      <c r="H255" s="64"/>
      <c r="I255" s="64"/>
      <c r="J255" s="64"/>
    </row>
    <row r="256" spans="1:10" ht="13.2" customHeight="1" x14ac:dyDescent="0.3">
      <c r="A256" s="64">
        <f t="shared" si="26"/>
        <v>-283.14999999999998</v>
      </c>
      <c r="B256" s="64" t="s">
        <v>237</v>
      </c>
      <c r="C256" s="65"/>
      <c r="D256" s="65"/>
      <c r="E256" s="65"/>
      <c r="F256" s="65"/>
      <c r="G256" s="64"/>
      <c r="H256" s="64"/>
      <c r="I256" s="64"/>
      <c r="J256" s="64"/>
    </row>
    <row r="257" spans="1:10" ht="13.2" customHeight="1" x14ac:dyDescent="0.3">
      <c r="A257" s="64">
        <f t="shared" si="26"/>
        <v>-283.14999999999998</v>
      </c>
      <c r="B257" s="64" t="s">
        <v>238</v>
      </c>
      <c r="C257" s="65"/>
      <c r="D257" s="65"/>
      <c r="E257" s="65"/>
      <c r="F257" s="65"/>
      <c r="G257" s="64"/>
      <c r="H257" s="64"/>
      <c r="I257" s="64"/>
      <c r="J257" s="64"/>
    </row>
    <row r="258" spans="1:10" ht="13.2" customHeight="1" x14ac:dyDescent="0.3">
      <c r="A258" s="64">
        <f t="shared" si="26"/>
        <v>-283.14999999999998</v>
      </c>
      <c r="B258" s="64" t="s">
        <v>239</v>
      </c>
      <c r="C258" s="65"/>
      <c r="D258" s="65"/>
      <c r="E258" s="65"/>
      <c r="F258" s="65"/>
      <c r="G258" s="64"/>
      <c r="H258" s="64"/>
      <c r="I258" s="64"/>
      <c r="J258" s="64"/>
    </row>
    <row r="259" spans="1:10" ht="13.2" customHeight="1" x14ac:dyDescent="0.3">
      <c r="A259" s="64">
        <f t="shared" si="26"/>
        <v>-283.14999999999998</v>
      </c>
      <c r="B259" s="64" t="s">
        <v>240</v>
      </c>
      <c r="C259" s="65"/>
      <c r="D259" s="65"/>
      <c r="E259" s="65"/>
      <c r="F259" s="65"/>
      <c r="G259" s="64"/>
      <c r="H259" s="64"/>
      <c r="I259" s="64"/>
      <c r="J259" s="64"/>
    </row>
    <row r="260" spans="1:10" ht="13.2" customHeight="1" x14ac:dyDescent="0.3">
      <c r="A260" s="64">
        <f t="shared" si="26"/>
        <v>-283.14999999999998</v>
      </c>
      <c r="B260" s="64" t="s">
        <v>241</v>
      </c>
      <c r="C260" s="65"/>
      <c r="D260" s="65"/>
      <c r="E260" s="65"/>
      <c r="F260" s="65"/>
      <c r="G260" s="64"/>
      <c r="H260" s="64"/>
      <c r="I260" s="64"/>
      <c r="J260" s="64"/>
    </row>
    <row r="261" spans="1:10" ht="13.2" customHeight="1" thickBot="1" x14ac:dyDescent="0.35">
      <c r="A261" s="93">
        <f t="shared" si="26"/>
        <v>-283.14999999999998</v>
      </c>
      <c r="B261" s="93" t="s">
        <v>225</v>
      </c>
      <c r="C261" s="94"/>
      <c r="D261" s="94"/>
      <c r="E261" s="94"/>
      <c r="F261" s="94"/>
      <c r="G261" s="93"/>
      <c r="H261" s="93"/>
      <c r="I261" s="93"/>
      <c r="J261" s="93"/>
    </row>
    <row r="262" spans="1:10" ht="15.6" thickTop="1" thickBot="1" x14ac:dyDescent="0.35"/>
    <row r="263" spans="1:10" ht="15.6" customHeight="1" thickTop="1" thickBot="1" x14ac:dyDescent="0.35">
      <c r="A263" s="135" t="s">
        <v>252</v>
      </c>
      <c r="B263" s="136"/>
      <c r="C263" s="136"/>
      <c r="D263" s="136"/>
      <c r="E263" s="136"/>
      <c r="F263" s="136"/>
      <c r="G263" s="136"/>
      <c r="H263" s="136"/>
      <c r="I263" s="136"/>
      <c r="J263" s="136"/>
    </row>
    <row r="264" spans="1:10" ht="42.6" thickTop="1" thickBot="1" x14ac:dyDescent="0.35">
      <c r="A264" s="11" t="s">
        <v>33</v>
      </c>
      <c r="B264" s="11" t="s">
        <v>15</v>
      </c>
      <c r="C264" s="11" t="s">
        <v>22</v>
      </c>
      <c r="D264" s="11" t="s">
        <v>17</v>
      </c>
      <c r="E264" s="11" t="s">
        <v>16</v>
      </c>
      <c r="F264" s="11" t="s">
        <v>28</v>
      </c>
      <c r="G264" s="11" t="s">
        <v>20</v>
      </c>
      <c r="H264" s="11" t="s">
        <v>29</v>
      </c>
      <c r="I264" s="11" t="s">
        <v>21</v>
      </c>
      <c r="J264" s="11" t="s">
        <v>30</v>
      </c>
    </row>
    <row r="265" spans="1:10" s="3" customFormat="1" ht="15" thickTop="1" x14ac:dyDescent="0.3">
      <c r="A265" s="12">
        <v>20.980000000000018</v>
      </c>
      <c r="B265" s="12" t="s">
        <v>27</v>
      </c>
      <c r="C265" s="12">
        <v>42.9</v>
      </c>
      <c r="D265" s="10">
        <v>304.13</v>
      </c>
      <c r="E265" s="10">
        <v>7474.89</v>
      </c>
      <c r="F265" s="7">
        <v>0.31</v>
      </c>
      <c r="G265" s="6">
        <v>10.17</v>
      </c>
      <c r="H265" s="6">
        <v>900</v>
      </c>
      <c r="I265" s="6">
        <v>11.2</v>
      </c>
      <c r="J265" s="6">
        <v>700</v>
      </c>
    </row>
    <row r="266" spans="1:10" s="3" customFormat="1" ht="16.2" customHeight="1" x14ac:dyDescent="0.3">
      <c r="A266" s="6">
        <f t="shared" ref="A266:A268" si="27">D266-273.15-10</f>
        <v>13.350000000000023</v>
      </c>
      <c r="B266" s="6" t="s">
        <v>45</v>
      </c>
      <c r="C266" s="7">
        <v>43.03</v>
      </c>
      <c r="D266" s="4">
        <v>296.5</v>
      </c>
      <c r="E266" s="4">
        <v>8281.61</v>
      </c>
      <c r="F266" s="4">
        <v>0.26</v>
      </c>
      <c r="G266" s="6">
        <f>351.7-340.73</f>
        <v>10.96999999999997</v>
      </c>
      <c r="H266" s="6">
        <v>1050</v>
      </c>
      <c r="I266" s="6">
        <f>440.13-429.27</f>
        <v>10.860000000000014</v>
      </c>
      <c r="J266" s="6">
        <v>700</v>
      </c>
    </row>
    <row r="267" spans="1:10" s="3" customFormat="1" ht="16.2" customHeight="1" x14ac:dyDescent="0.3">
      <c r="A267" s="6">
        <f t="shared" si="27"/>
        <v>4.1000000000000227</v>
      </c>
      <c r="B267" s="6" t="s">
        <v>46</v>
      </c>
      <c r="C267" s="7">
        <v>44.41</v>
      </c>
      <c r="D267" s="4">
        <v>287.25</v>
      </c>
      <c r="E267" s="4">
        <v>8766.7900000000009</v>
      </c>
      <c r="F267" s="4">
        <v>0.24</v>
      </c>
      <c r="G267" s="6">
        <f>340.76-330.79</f>
        <v>9.9699999999999704</v>
      </c>
      <c r="H267" s="4">
        <v>1200</v>
      </c>
      <c r="I267" s="6">
        <f>429.92-418.93</f>
        <v>10.990000000000009</v>
      </c>
      <c r="J267" s="4">
        <v>850</v>
      </c>
    </row>
    <row r="268" spans="1:10" s="3" customFormat="1" ht="16.2" customHeight="1" x14ac:dyDescent="0.3">
      <c r="A268" s="6">
        <f t="shared" si="27"/>
        <v>-6.1599999999999682</v>
      </c>
      <c r="B268" s="13" t="s">
        <v>47</v>
      </c>
      <c r="C268" s="14">
        <v>45.25</v>
      </c>
      <c r="D268" s="14">
        <v>276.99</v>
      </c>
      <c r="E268" s="14">
        <v>8989.2000000000007</v>
      </c>
      <c r="F268" s="14">
        <v>0.2</v>
      </c>
      <c r="G268" s="8">
        <f>401.41-391.62</f>
        <v>9.7900000000000205</v>
      </c>
      <c r="H268" s="14">
        <v>1300</v>
      </c>
      <c r="I268" s="8">
        <f>330.14-319.96</f>
        <v>10.180000000000007</v>
      </c>
      <c r="J268" s="14">
        <v>700</v>
      </c>
    </row>
    <row r="269" spans="1:10" x14ac:dyDescent="0.3">
      <c r="A269" s="6">
        <f>D269-273.15-10</f>
        <v>-17.70999999999998</v>
      </c>
      <c r="B269" s="6" t="s">
        <v>48</v>
      </c>
      <c r="C269" s="6">
        <v>47.29</v>
      </c>
      <c r="D269" s="6">
        <v>265.44</v>
      </c>
      <c r="E269" s="6">
        <v>9055.31</v>
      </c>
      <c r="F269" s="6">
        <v>0.2</v>
      </c>
      <c r="G269" s="6">
        <f>397.88-387.19</f>
        <v>10.689999999999998</v>
      </c>
      <c r="H269" s="6">
        <v>1350</v>
      </c>
      <c r="I269" s="6">
        <f>316.35-306.4</f>
        <v>9.9500000000000455</v>
      </c>
      <c r="J269" s="6">
        <v>850</v>
      </c>
    </row>
    <row r="270" spans="1:10" ht="15.6" customHeight="1" x14ac:dyDescent="0.3">
      <c r="A270" s="6">
        <f t="shared" ref="A270:A271" si="28">D270-273.15-10</f>
        <v>-30.499999999999972</v>
      </c>
      <c r="B270" s="8" t="s">
        <v>76</v>
      </c>
      <c r="C270" s="31">
        <v>50.53</v>
      </c>
      <c r="D270" s="31">
        <v>252.65</v>
      </c>
      <c r="E270" s="31">
        <v>8692.27</v>
      </c>
      <c r="F270" s="31">
        <v>0.2</v>
      </c>
      <c r="G270" s="8">
        <v>10.4</v>
      </c>
      <c r="H270" s="31">
        <v>1200</v>
      </c>
      <c r="I270" s="8">
        <v>11.5</v>
      </c>
      <c r="J270" s="31">
        <v>800</v>
      </c>
    </row>
    <row r="271" spans="1:10" x14ac:dyDescent="0.3">
      <c r="A271" s="6">
        <f t="shared" si="28"/>
        <v>-44.019999999999982</v>
      </c>
      <c r="B271" s="8" t="s">
        <v>122</v>
      </c>
      <c r="C271" s="31">
        <v>51.41</v>
      </c>
      <c r="D271" s="31">
        <v>239.13</v>
      </c>
      <c r="E271" s="31">
        <v>8027.37</v>
      </c>
      <c r="F271" s="31">
        <v>0.2</v>
      </c>
      <c r="G271" s="8">
        <f>403.85-392.14</f>
        <v>11.710000000000036</v>
      </c>
      <c r="H271" s="31">
        <v>1400</v>
      </c>
      <c r="I271" s="8">
        <f>299.83-289.49</f>
        <v>10.339999999999975</v>
      </c>
      <c r="J271" s="31">
        <v>675</v>
      </c>
    </row>
    <row r="272" spans="1:10" x14ac:dyDescent="0.3">
      <c r="A272" s="6">
        <f>D272-273.15-10</f>
        <v>-56.96999999999997</v>
      </c>
      <c r="B272" s="8" t="s">
        <v>75</v>
      </c>
      <c r="C272" s="31">
        <v>53.94</v>
      </c>
      <c r="D272" s="31">
        <v>226.18</v>
      </c>
      <c r="E272" s="31">
        <v>7111.83</v>
      </c>
      <c r="F272" s="31">
        <v>0.2</v>
      </c>
      <c r="G272" s="8">
        <f>383.8-372.19</f>
        <v>11.610000000000014</v>
      </c>
      <c r="H272" s="31">
        <v>1100</v>
      </c>
      <c r="I272" s="8">
        <f>281.38-271.21</f>
        <v>10.170000000000016</v>
      </c>
      <c r="J272" s="31">
        <v>525</v>
      </c>
    </row>
    <row r="273" spans="1:10" ht="15" thickBot="1" x14ac:dyDescent="0.35">
      <c r="A273" s="6">
        <f>D273-273.15-10</f>
        <v>-69.559999999999974</v>
      </c>
      <c r="B273" s="6" t="s">
        <v>74</v>
      </c>
      <c r="C273" s="14">
        <v>55.11</v>
      </c>
      <c r="D273" s="14">
        <v>213.59</v>
      </c>
      <c r="E273" s="14">
        <v>6335.04</v>
      </c>
      <c r="F273" s="14">
        <v>0.15</v>
      </c>
      <c r="G273" s="8">
        <f>339.8-329.54</f>
        <v>10.259999999999991</v>
      </c>
      <c r="H273" s="14">
        <v>950</v>
      </c>
      <c r="I273" s="8">
        <f>271.03-260.15</f>
        <v>10.879999999999995</v>
      </c>
      <c r="J273" s="14">
        <v>350</v>
      </c>
    </row>
    <row r="274" spans="1:10" ht="13.2" customHeight="1" x14ac:dyDescent="0.3">
      <c r="A274" s="86">
        <f t="shared" ref="A274" si="29">D274-273.15-10</f>
        <v>-283.14999999999998</v>
      </c>
      <c r="B274" s="86" t="s">
        <v>176</v>
      </c>
      <c r="C274" s="86"/>
      <c r="D274" s="87"/>
      <c r="E274" s="87"/>
      <c r="F274" s="87"/>
      <c r="G274" s="86"/>
      <c r="H274" s="86"/>
      <c r="I274" s="86"/>
      <c r="J274" s="86"/>
    </row>
    <row r="275" spans="1:10" ht="13.2" customHeight="1" x14ac:dyDescent="0.3">
      <c r="A275" s="64">
        <f t="shared" ref="A275:A280" si="30">D275-273.15-10</f>
        <v>-283.14999999999998</v>
      </c>
      <c r="B275" s="64" t="s">
        <v>175</v>
      </c>
      <c r="C275" s="65"/>
      <c r="D275" s="65"/>
      <c r="E275" s="65"/>
      <c r="F275" s="65"/>
      <c r="G275" s="64"/>
      <c r="H275" s="65"/>
      <c r="I275" s="64"/>
      <c r="J275" s="65"/>
    </row>
    <row r="276" spans="1:10" ht="13.2" customHeight="1" x14ac:dyDescent="0.3">
      <c r="A276" s="64">
        <f t="shared" si="30"/>
        <v>-283.14999999999998</v>
      </c>
      <c r="B276" s="64" t="s">
        <v>174</v>
      </c>
      <c r="C276" s="65"/>
      <c r="D276" s="65"/>
      <c r="E276" s="65"/>
      <c r="F276" s="65"/>
      <c r="G276" s="64"/>
      <c r="H276" s="65"/>
      <c r="I276" s="64"/>
      <c r="J276" s="65"/>
    </row>
    <row r="277" spans="1:10" ht="13.2" customHeight="1" x14ac:dyDescent="0.3">
      <c r="A277" s="64">
        <f t="shared" si="30"/>
        <v>-283.14999999999998</v>
      </c>
      <c r="B277" s="64" t="s">
        <v>173</v>
      </c>
      <c r="C277" s="65"/>
      <c r="D277" s="65"/>
      <c r="E277" s="65"/>
      <c r="F277" s="65"/>
      <c r="G277" s="64"/>
      <c r="H277" s="65"/>
      <c r="I277" s="64"/>
      <c r="J277" s="65"/>
    </row>
    <row r="278" spans="1:10" ht="13.2" customHeight="1" x14ac:dyDescent="0.3">
      <c r="A278" s="64">
        <f t="shared" si="30"/>
        <v>-283.14999999999998</v>
      </c>
      <c r="B278" s="64" t="s">
        <v>177</v>
      </c>
      <c r="C278" s="65"/>
      <c r="D278" s="65"/>
      <c r="E278" s="65"/>
      <c r="F278" s="65"/>
      <c r="G278" s="64"/>
      <c r="H278" s="65"/>
      <c r="I278" s="64"/>
      <c r="J278" s="65"/>
    </row>
    <row r="279" spans="1:10" ht="13.2" customHeight="1" x14ac:dyDescent="0.3">
      <c r="A279" s="64">
        <f t="shared" si="30"/>
        <v>-283.14999999999998</v>
      </c>
      <c r="B279" s="64" t="s">
        <v>127</v>
      </c>
      <c r="C279" s="65"/>
      <c r="D279" s="65"/>
      <c r="E279" s="65"/>
      <c r="F279" s="65"/>
      <c r="G279" s="64"/>
      <c r="H279" s="65"/>
      <c r="I279" s="64"/>
      <c r="J279" s="65"/>
    </row>
    <row r="280" spans="1:10" ht="13.2" customHeight="1" x14ac:dyDescent="0.3">
      <c r="A280" s="64">
        <f t="shared" si="30"/>
        <v>-283.14999999999998</v>
      </c>
      <c r="B280" s="64" t="s">
        <v>170</v>
      </c>
      <c r="C280" s="65"/>
      <c r="D280" s="65"/>
      <c r="E280" s="65"/>
      <c r="F280" s="65"/>
      <c r="G280" s="64"/>
      <c r="H280" s="65"/>
      <c r="I280" s="64"/>
      <c r="J280" s="65"/>
    </row>
    <row r="281" spans="1:10" ht="13.2" customHeight="1" x14ac:dyDescent="0.3">
      <c r="A281" s="64">
        <f t="shared" ref="A281:A282" si="31">D281-273.15-10</f>
        <v>-283.14999999999998</v>
      </c>
      <c r="B281" s="64" t="s">
        <v>171</v>
      </c>
      <c r="C281" s="65"/>
      <c r="D281" s="65"/>
      <c r="E281" s="65"/>
      <c r="F281" s="65"/>
      <c r="G281" s="64"/>
      <c r="H281" s="65"/>
      <c r="I281" s="64"/>
      <c r="J281" s="65"/>
    </row>
    <row r="282" spans="1:10" ht="13.2" customHeight="1" thickBot="1" x14ac:dyDescent="0.35">
      <c r="A282" s="89">
        <f t="shared" si="31"/>
        <v>-283.14999999999998</v>
      </c>
      <c r="B282" s="89" t="s">
        <v>172</v>
      </c>
      <c r="C282" s="90"/>
      <c r="D282" s="90"/>
      <c r="E282" s="90"/>
      <c r="F282" s="90"/>
      <c r="G282" s="89"/>
      <c r="H282" s="90"/>
      <c r="I282" s="89"/>
      <c r="J282" s="90"/>
    </row>
    <row r="283" spans="1:10" ht="15" thickBot="1" x14ac:dyDescent="0.35">
      <c r="A283" s="5">
        <f>D283-273.15-10</f>
        <v>-81.699999999999989</v>
      </c>
      <c r="B283" s="5" t="s">
        <v>73</v>
      </c>
      <c r="C283" s="53">
        <v>57.9</v>
      </c>
      <c r="D283" s="53">
        <v>201.45</v>
      </c>
      <c r="E283" s="53">
        <v>5461.41</v>
      </c>
      <c r="F283" s="53">
        <v>0.17</v>
      </c>
      <c r="G283" s="44">
        <f>343.16-333.54</f>
        <v>9.6200000000000045</v>
      </c>
      <c r="H283" s="53">
        <v>900</v>
      </c>
      <c r="I283" s="44">
        <f>259.95-249.21</f>
        <v>10.739999999999981</v>
      </c>
      <c r="J283" s="53">
        <v>350</v>
      </c>
    </row>
    <row r="284" spans="1:10" ht="15.6" thickTop="1" thickBot="1" x14ac:dyDescent="0.35">
      <c r="A284" s="92">
        <f>D284-273.15-10</f>
        <v>-92.589999999999975</v>
      </c>
      <c r="B284" s="38" t="s">
        <v>72</v>
      </c>
      <c r="C284" s="5">
        <v>61.09</v>
      </c>
      <c r="D284" s="39">
        <v>190.56</v>
      </c>
      <c r="E284" s="5">
        <v>4799.2</v>
      </c>
      <c r="F284" s="5">
        <v>0.2</v>
      </c>
      <c r="G284" s="5"/>
      <c r="H284" s="5"/>
      <c r="I284" s="5"/>
      <c r="J284" s="5"/>
    </row>
    <row r="285" spans="1:10" ht="15.6" thickTop="1" thickBot="1" x14ac:dyDescent="0.35"/>
    <row r="286" spans="1:10" ht="19.2" thickTop="1" thickBot="1" x14ac:dyDescent="0.35">
      <c r="A286" s="135" t="s">
        <v>253</v>
      </c>
      <c r="B286" s="136"/>
      <c r="C286" s="136"/>
      <c r="D286" s="136"/>
      <c r="E286" s="136"/>
      <c r="F286" s="136"/>
      <c r="G286" s="136"/>
      <c r="H286" s="136"/>
      <c r="I286" s="136"/>
      <c r="J286" s="136"/>
    </row>
    <row r="287" spans="1:10" ht="49.8" customHeight="1" thickTop="1" thickBot="1" x14ac:dyDescent="0.35">
      <c r="A287" s="77" t="s">
        <v>33</v>
      </c>
      <c r="B287" s="77" t="s">
        <v>15</v>
      </c>
      <c r="C287" s="77" t="s">
        <v>22</v>
      </c>
      <c r="D287" s="77" t="s">
        <v>17</v>
      </c>
      <c r="E287" s="77" t="s">
        <v>16</v>
      </c>
      <c r="F287" s="77" t="s">
        <v>28</v>
      </c>
      <c r="G287" s="77" t="s">
        <v>20</v>
      </c>
      <c r="H287" s="77" t="s">
        <v>29</v>
      </c>
      <c r="I287" s="77" t="s">
        <v>21</v>
      </c>
      <c r="J287" s="77" t="s">
        <v>30</v>
      </c>
    </row>
    <row r="288" spans="1:10" ht="15" thickBot="1" x14ac:dyDescent="0.35">
      <c r="A288" s="78">
        <f t="shared" ref="A288:A296" si="32">D288-273.15-10</f>
        <v>20.980000000000018</v>
      </c>
      <c r="B288" s="78" t="s">
        <v>27</v>
      </c>
      <c r="C288" s="78">
        <v>42.9</v>
      </c>
      <c r="D288" s="80">
        <v>304.13</v>
      </c>
      <c r="E288" s="80">
        <v>7474.89</v>
      </c>
      <c r="F288" s="80">
        <v>0.31</v>
      </c>
      <c r="G288" s="82">
        <v>10.17</v>
      </c>
      <c r="H288" s="82">
        <v>900</v>
      </c>
      <c r="I288" s="82">
        <v>11.2</v>
      </c>
      <c r="J288" s="82">
        <v>700</v>
      </c>
    </row>
    <row r="289" spans="1:10" ht="15" customHeight="1" x14ac:dyDescent="0.3">
      <c r="A289" s="86">
        <f t="shared" si="32"/>
        <v>-283.14999999999998</v>
      </c>
      <c r="B289" s="64" t="s">
        <v>178</v>
      </c>
      <c r="C289" s="64">
        <v>59.16</v>
      </c>
      <c r="D289" s="65"/>
      <c r="E289" s="65"/>
      <c r="F289" s="65"/>
      <c r="G289" s="64"/>
      <c r="H289" s="64"/>
      <c r="I289" s="64"/>
      <c r="J289" s="64"/>
    </row>
    <row r="290" spans="1:10" ht="15" customHeight="1" x14ac:dyDescent="0.3">
      <c r="A290" s="64">
        <f t="shared" si="32"/>
        <v>-283.14999999999998</v>
      </c>
      <c r="B290" s="64" t="s">
        <v>179</v>
      </c>
      <c r="C290" s="64">
        <v>60.12</v>
      </c>
      <c r="D290" s="65"/>
      <c r="E290" s="65"/>
      <c r="F290" s="65"/>
      <c r="G290" s="64"/>
      <c r="H290" s="64"/>
      <c r="I290" s="64"/>
      <c r="J290" s="64"/>
    </row>
    <row r="291" spans="1:10" ht="15" customHeight="1" x14ac:dyDescent="0.3">
      <c r="A291" s="64">
        <f t="shared" si="32"/>
        <v>-283.14999999999998</v>
      </c>
      <c r="B291" s="64" t="s">
        <v>180</v>
      </c>
      <c r="C291" s="64">
        <v>60.02</v>
      </c>
      <c r="D291" s="95"/>
      <c r="E291" s="65"/>
      <c r="F291" s="65"/>
      <c r="G291" s="64"/>
      <c r="H291" s="64"/>
      <c r="I291" s="64"/>
      <c r="J291" s="64"/>
    </row>
    <row r="292" spans="1:10" ht="15" customHeight="1" x14ac:dyDescent="0.3">
      <c r="A292" s="64">
        <f t="shared" si="32"/>
        <v>-283.14999999999998</v>
      </c>
      <c r="B292" s="64" t="s">
        <v>181</v>
      </c>
      <c r="C292" s="64">
        <v>60.65</v>
      </c>
      <c r="D292" s="65"/>
      <c r="E292" s="65"/>
      <c r="F292" s="65"/>
      <c r="G292" s="64"/>
      <c r="H292" s="64"/>
      <c r="I292" s="64"/>
      <c r="J292" s="64"/>
    </row>
    <row r="293" spans="1:10" ht="15" customHeight="1" x14ac:dyDescent="0.3">
      <c r="A293" s="64">
        <f t="shared" si="32"/>
        <v>-283.14999999999998</v>
      </c>
      <c r="B293" s="64" t="s">
        <v>182</v>
      </c>
      <c r="C293" s="64">
        <v>61.23</v>
      </c>
      <c r="D293" s="65"/>
      <c r="E293" s="65"/>
      <c r="F293" s="65"/>
      <c r="G293" s="64"/>
      <c r="H293" s="64"/>
      <c r="I293" s="64"/>
      <c r="J293" s="64"/>
    </row>
    <row r="294" spans="1:10" ht="15" customHeight="1" x14ac:dyDescent="0.3">
      <c r="A294" s="64">
        <f t="shared" si="32"/>
        <v>-283.14999999999998</v>
      </c>
      <c r="B294" s="64" t="s">
        <v>183</v>
      </c>
      <c r="C294" s="64">
        <v>53.47</v>
      </c>
      <c r="D294" s="65"/>
      <c r="E294" s="65"/>
      <c r="F294" s="65"/>
      <c r="G294" s="64"/>
      <c r="H294" s="64"/>
      <c r="I294" s="64"/>
      <c r="J294" s="64"/>
    </row>
    <row r="295" spans="1:10" ht="15" customHeight="1" x14ac:dyDescent="0.3">
      <c r="A295" s="64">
        <f t="shared" si="32"/>
        <v>-283.14999999999998</v>
      </c>
      <c r="B295" s="64" t="s">
        <v>184</v>
      </c>
      <c r="C295" s="64">
        <v>53.15</v>
      </c>
      <c r="D295" s="65"/>
      <c r="E295" s="65"/>
      <c r="F295" s="65"/>
      <c r="G295" s="64"/>
      <c r="H295" s="64"/>
      <c r="I295" s="64"/>
      <c r="J295" s="64"/>
    </row>
    <row r="296" spans="1:10" ht="15" customHeight="1" thickBot="1" x14ac:dyDescent="0.35">
      <c r="A296" s="93">
        <f t="shared" si="32"/>
        <v>-283.14999999999998</v>
      </c>
      <c r="B296" s="93" t="s">
        <v>176</v>
      </c>
      <c r="C296" s="93">
        <v>52.29</v>
      </c>
      <c r="D296" s="94"/>
      <c r="E296" s="94"/>
      <c r="F296" s="94"/>
      <c r="G296" s="93"/>
      <c r="H296" s="93"/>
      <c r="I296" s="93"/>
      <c r="J296" s="93"/>
    </row>
    <row r="297" spans="1:10" ht="15.6" thickTop="1" thickBot="1" x14ac:dyDescent="0.35"/>
    <row r="298" spans="1:10" ht="15.6" customHeight="1" thickTop="1" thickBot="1" x14ac:dyDescent="0.35">
      <c r="A298" s="135" t="s">
        <v>254</v>
      </c>
      <c r="B298" s="136"/>
      <c r="C298" s="136"/>
      <c r="D298" s="136"/>
      <c r="E298" s="136"/>
      <c r="F298" s="136"/>
      <c r="G298" s="136"/>
      <c r="H298" s="136"/>
      <c r="I298" s="136"/>
      <c r="J298" s="136"/>
    </row>
    <row r="299" spans="1:10" ht="42.6" thickTop="1" thickBot="1" x14ac:dyDescent="0.35">
      <c r="A299" s="11" t="s">
        <v>33</v>
      </c>
      <c r="B299" s="11" t="s">
        <v>15</v>
      </c>
      <c r="C299" s="11" t="s">
        <v>22</v>
      </c>
      <c r="D299" s="11" t="s">
        <v>17</v>
      </c>
      <c r="E299" s="11" t="s">
        <v>16</v>
      </c>
      <c r="F299" s="11" t="s">
        <v>28</v>
      </c>
      <c r="G299" s="11" t="s">
        <v>20</v>
      </c>
      <c r="H299" s="11" t="s">
        <v>29</v>
      </c>
      <c r="I299" s="11" t="s">
        <v>21</v>
      </c>
      <c r="J299" s="11" t="s">
        <v>30</v>
      </c>
    </row>
    <row r="300" spans="1:10" s="3" customFormat="1" ht="15" thickTop="1" x14ac:dyDescent="0.3">
      <c r="A300" s="12">
        <v>20.980000000000018</v>
      </c>
      <c r="B300" s="12" t="s">
        <v>27</v>
      </c>
      <c r="C300" s="12">
        <v>42.9</v>
      </c>
      <c r="D300" s="10">
        <v>304.13</v>
      </c>
      <c r="E300" s="10">
        <v>7474.89</v>
      </c>
      <c r="F300" s="7">
        <v>0.31</v>
      </c>
      <c r="G300" s="6">
        <v>10.17</v>
      </c>
      <c r="H300" s="6">
        <v>900</v>
      </c>
      <c r="I300" s="6">
        <v>11.2</v>
      </c>
      <c r="J300" s="6">
        <v>700</v>
      </c>
    </row>
    <row r="301" spans="1:10" s="3" customFormat="1" ht="16.2" customHeight="1" x14ac:dyDescent="0.3">
      <c r="A301" s="6">
        <f t="shared" ref="A301:A303" si="33">D301-273.15-10</f>
        <v>13.350000000000023</v>
      </c>
      <c r="B301" s="6" t="s">
        <v>45</v>
      </c>
      <c r="C301" s="7">
        <v>43.03</v>
      </c>
      <c r="D301" s="4">
        <v>296.5</v>
      </c>
      <c r="E301" s="4">
        <v>8281.61</v>
      </c>
      <c r="F301" s="4">
        <v>0.26</v>
      </c>
      <c r="G301" s="6">
        <f>351.7-340.73</f>
        <v>10.96999999999997</v>
      </c>
      <c r="H301" s="6">
        <v>1050</v>
      </c>
      <c r="I301" s="6">
        <f>440.13-429.27</f>
        <v>10.860000000000014</v>
      </c>
      <c r="J301" s="6">
        <v>700</v>
      </c>
    </row>
    <row r="302" spans="1:10" s="3" customFormat="1" ht="16.2" customHeight="1" x14ac:dyDescent="0.3">
      <c r="A302" s="6">
        <f t="shared" si="33"/>
        <v>4.1000000000000227</v>
      </c>
      <c r="B302" s="6" t="s">
        <v>46</v>
      </c>
      <c r="C302" s="7">
        <v>44.41</v>
      </c>
      <c r="D302" s="4">
        <v>287.25</v>
      </c>
      <c r="E302" s="4">
        <v>8766.7900000000009</v>
      </c>
      <c r="F302" s="4">
        <v>0.24</v>
      </c>
      <c r="G302" s="6">
        <f>340.76-330.79</f>
        <v>9.9699999999999704</v>
      </c>
      <c r="H302" s="4">
        <v>1200</v>
      </c>
      <c r="I302" s="6">
        <f>429.92-418.93</f>
        <v>10.990000000000009</v>
      </c>
      <c r="J302" s="4">
        <v>850</v>
      </c>
    </row>
    <row r="303" spans="1:10" s="3" customFormat="1" ht="16.2" customHeight="1" x14ac:dyDescent="0.3">
      <c r="A303" s="6">
        <f t="shared" si="33"/>
        <v>-6.1599999999999682</v>
      </c>
      <c r="B303" s="13" t="s">
        <v>47</v>
      </c>
      <c r="C303" s="14">
        <v>45.25</v>
      </c>
      <c r="D303" s="14">
        <v>276.99</v>
      </c>
      <c r="E303" s="14">
        <v>8989.2000000000007</v>
      </c>
      <c r="F303" s="14">
        <v>0.2</v>
      </c>
      <c r="G303" s="8">
        <f>401.41-391.62</f>
        <v>9.7900000000000205</v>
      </c>
      <c r="H303" s="14">
        <v>1300</v>
      </c>
      <c r="I303" s="8">
        <f>330.14-319.96</f>
        <v>10.180000000000007</v>
      </c>
      <c r="J303" s="14">
        <v>700</v>
      </c>
    </row>
    <row r="304" spans="1:10" x14ac:dyDescent="0.3">
      <c r="A304" s="6">
        <f>D304-273.15-10</f>
        <v>-17.70999999999998</v>
      </c>
      <c r="B304" s="6" t="s">
        <v>48</v>
      </c>
      <c r="C304" s="6">
        <v>47.29</v>
      </c>
      <c r="D304" s="6">
        <v>265.44</v>
      </c>
      <c r="E304" s="6">
        <v>9055.31</v>
      </c>
      <c r="F304" s="6">
        <v>0.2</v>
      </c>
      <c r="G304" s="6">
        <f>397.88-387.19</f>
        <v>10.689999999999998</v>
      </c>
      <c r="H304" s="6">
        <v>1350</v>
      </c>
      <c r="I304" s="6">
        <f>316.35-306.4</f>
        <v>9.9500000000000455</v>
      </c>
      <c r="J304" s="6">
        <v>850</v>
      </c>
    </row>
    <row r="305" spans="1:10" ht="15.6" customHeight="1" x14ac:dyDescent="0.3">
      <c r="A305" s="6">
        <f t="shared" ref="A305:A306" si="34">D305-273.15-10</f>
        <v>-30.499999999999972</v>
      </c>
      <c r="B305" s="8" t="s">
        <v>76</v>
      </c>
      <c r="C305" s="31">
        <v>50.53</v>
      </c>
      <c r="D305" s="31">
        <v>252.65</v>
      </c>
      <c r="E305" s="31">
        <v>8692.27</v>
      </c>
      <c r="F305" s="31">
        <v>0.2</v>
      </c>
      <c r="G305" s="8">
        <v>10.4</v>
      </c>
      <c r="H305" s="31">
        <v>1200</v>
      </c>
      <c r="I305" s="8">
        <v>11.5</v>
      </c>
      <c r="J305" s="31">
        <v>800</v>
      </c>
    </row>
    <row r="306" spans="1:10" x14ac:dyDescent="0.3">
      <c r="A306" s="6">
        <f t="shared" si="34"/>
        <v>-44.019999999999982</v>
      </c>
      <c r="B306" s="8" t="s">
        <v>122</v>
      </c>
      <c r="C306" s="31">
        <v>51.41</v>
      </c>
      <c r="D306" s="31">
        <v>239.13</v>
      </c>
      <c r="E306" s="31">
        <v>8027.37</v>
      </c>
      <c r="F306" s="31">
        <v>0.2</v>
      </c>
      <c r="G306" s="8">
        <f>403.85-392.14</f>
        <v>11.710000000000036</v>
      </c>
      <c r="H306" s="31">
        <v>1400</v>
      </c>
      <c r="I306" s="8">
        <f>299.83-289.49</f>
        <v>10.339999999999975</v>
      </c>
      <c r="J306" s="31">
        <v>675</v>
      </c>
    </row>
    <row r="307" spans="1:10" x14ac:dyDescent="0.3">
      <c r="A307" s="6">
        <f>D307-273.15-10</f>
        <v>-56.96999999999997</v>
      </c>
      <c r="B307" s="8" t="s">
        <v>75</v>
      </c>
      <c r="C307" s="31">
        <v>53.94</v>
      </c>
      <c r="D307" s="31">
        <v>226.18</v>
      </c>
      <c r="E307" s="31">
        <v>7111.83</v>
      </c>
      <c r="F307" s="31">
        <v>0.2</v>
      </c>
      <c r="G307" s="8">
        <f>383.8-372.19</f>
        <v>11.610000000000014</v>
      </c>
      <c r="H307" s="31">
        <v>1100</v>
      </c>
      <c r="I307" s="8">
        <f>281.38-271.21</f>
        <v>10.170000000000016</v>
      </c>
      <c r="J307" s="31">
        <v>525</v>
      </c>
    </row>
    <row r="308" spans="1:10" ht="15" thickBot="1" x14ac:dyDescent="0.35">
      <c r="A308" s="6">
        <f>D308-273.15-10</f>
        <v>-69.559999999999974</v>
      </c>
      <c r="B308" s="6" t="s">
        <v>74</v>
      </c>
      <c r="C308" s="14">
        <v>55.11</v>
      </c>
      <c r="D308" s="14">
        <v>213.59</v>
      </c>
      <c r="E308" s="14">
        <v>6335.04</v>
      </c>
      <c r="F308" s="14">
        <v>0.15</v>
      </c>
      <c r="G308" s="8">
        <f>339.8-329.54</f>
        <v>10.259999999999991</v>
      </c>
      <c r="H308" s="14">
        <v>950</v>
      </c>
      <c r="I308" s="8">
        <f>271.03-260.15</f>
        <v>10.879999999999995</v>
      </c>
      <c r="J308" s="14">
        <v>350</v>
      </c>
    </row>
    <row r="309" spans="1:10" ht="13.2" customHeight="1" x14ac:dyDescent="0.3">
      <c r="A309" s="86">
        <f t="shared" ref="A309" si="35">D309-273.15-10</f>
        <v>-283.14999999999998</v>
      </c>
      <c r="B309" s="86" t="s">
        <v>176</v>
      </c>
      <c r="C309" s="86"/>
      <c r="D309" s="87"/>
      <c r="E309" s="87"/>
      <c r="F309" s="87"/>
      <c r="G309" s="86"/>
      <c r="H309" s="86"/>
      <c r="I309" s="86"/>
      <c r="J309" s="86"/>
    </row>
    <row r="310" spans="1:10" ht="13.2" customHeight="1" x14ac:dyDescent="0.3">
      <c r="A310" s="64">
        <f t="shared" ref="A310:A315" si="36">D310-273.15-10</f>
        <v>-283.14999999999998</v>
      </c>
      <c r="B310" s="64" t="s">
        <v>175</v>
      </c>
      <c r="C310" s="65"/>
      <c r="D310" s="65"/>
      <c r="E310" s="65"/>
      <c r="F310" s="65"/>
      <c r="G310" s="64"/>
      <c r="H310" s="65"/>
      <c r="I310" s="64"/>
      <c r="J310" s="65"/>
    </row>
    <row r="311" spans="1:10" ht="13.2" customHeight="1" x14ac:dyDescent="0.3">
      <c r="A311" s="64">
        <f t="shared" si="36"/>
        <v>-283.14999999999998</v>
      </c>
      <c r="B311" s="64" t="s">
        <v>174</v>
      </c>
      <c r="C311" s="65"/>
      <c r="D311" s="65"/>
      <c r="E311" s="65"/>
      <c r="F311" s="65"/>
      <c r="G311" s="64"/>
      <c r="H311" s="65"/>
      <c r="I311" s="64"/>
      <c r="J311" s="65"/>
    </row>
    <row r="312" spans="1:10" ht="13.2" customHeight="1" x14ac:dyDescent="0.3">
      <c r="A312" s="64">
        <f t="shared" si="36"/>
        <v>-283.14999999999998</v>
      </c>
      <c r="B312" s="64" t="s">
        <v>173</v>
      </c>
      <c r="C312" s="65"/>
      <c r="D312" s="65"/>
      <c r="E312" s="65"/>
      <c r="F312" s="65"/>
      <c r="G312" s="64"/>
      <c r="H312" s="65"/>
      <c r="I312" s="64"/>
      <c r="J312" s="65"/>
    </row>
    <row r="313" spans="1:10" ht="13.2" customHeight="1" x14ac:dyDescent="0.3">
      <c r="A313" s="64">
        <f t="shared" si="36"/>
        <v>-283.14999999999998</v>
      </c>
      <c r="B313" s="64" t="s">
        <v>177</v>
      </c>
      <c r="C313" s="65"/>
      <c r="D313" s="65"/>
      <c r="E313" s="65"/>
      <c r="F313" s="65"/>
      <c r="G313" s="64"/>
      <c r="H313" s="65"/>
      <c r="I313" s="64"/>
      <c r="J313" s="65"/>
    </row>
    <row r="314" spans="1:10" ht="13.2" customHeight="1" x14ac:dyDescent="0.3">
      <c r="A314" s="64">
        <f t="shared" si="36"/>
        <v>-283.14999999999998</v>
      </c>
      <c r="B314" s="64" t="s">
        <v>127</v>
      </c>
      <c r="C314" s="65"/>
      <c r="D314" s="65"/>
      <c r="E314" s="65"/>
      <c r="F314" s="65"/>
      <c r="G314" s="64"/>
      <c r="H314" s="65"/>
      <c r="I314" s="64"/>
      <c r="J314" s="65"/>
    </row>
    <row r="315" spans="1:10" ht="13.2" customHeight="1" x14ac:dyDescent="0.3">
      <c r="A315" s="64">
        <f t="shared" si="36"/>
        <v>-283.14999999999998</v>
      </c>
      <c r="B315" s="64" t="s">
        <v>170</v>
      </c>
      <c r="C315" s="65"/>
      <c r="D315" s="65"/>
      <c r="E315" s="65"/>
      <c r="F315" s="65"/>
      <c r="G315" s="64"/>
      <c r="H315" s="65"/>
      <c r="I315" s="64"/>
      <c r="J315" s="65"/>
    </row>
    <row r="316" spans="1:10" ht="13.2" customHeight="1" x14ac:dyDescent="0.3">
      <c r="A316" s="64">
        <f t="shared" ref="A316:A317" si="37">D316-273.15-10</f>
        <v>-283.14999999999998</v>
      </c>
      <c r="B316" s="64" t="s">
        <v>171</v>
      </c>
      <c r="C316" s="65"/>
      <c r="D316" s="65"/>
      <c r="E316" s="65"/>
      <c r="F316" s="65"/>
      <c r="G316" s="64"/>
      <c r="H316" s="65"/>
      <c r="I316" s="64"/>
      <c r="J316" s="65"/>
    </row>
    <row r="317" spans="1:10" ht="13.2" customHeight="1" thickBot="1" x14ac:dyDescent="0.35">
      <c r="A317" s="89">
        <f t="shared" si="37"/>
        <v>-283.14999999999998</v>
      </c>
      <c r="B317" s="89" t="s">
        <v>172</v>
      </c>
      <c r="C317" s="90"/>
      <c r="D317" s="90"/>
      <c r="E317" s="90"/>
      <c r="F317" s="90"/>
      <c r="G317" s="89"/>
      <c r="H317" s="90"/>
      <c r="I317" s="89"/>
      <c r="J317" s="90"/>
    </row>
    <row r="318" spans="1:10" ht="15" thickBot="1" x14ac:dyDescent="0.35">
      <c r="A318" s="5">
        <f>D318-273.15-10</f>
        <v>-81.699999999999989</v>
      </c>
      <c r="B318" s="5" t="s">
        <v>73</v>
      </c>
      <c r="C318" s="53">
        <v>57.9</v>
      </c>
      <c r="D318" s="53">
        <v>201.45</v>
      </c>
      <c r="E318" s="53">
        <v>5461.41</v>
      </c>
      <c r="F318" s="53">
        <v>0.17</v>
      </c>
      <c r="G318" s="44">
        <f>343.16-333.54</f>
        <v>9.6200000000000045</v>
      </c>
      <c r="H318" s="53">
        <v>900</v>
      </c>
      <c r="I318" s="44">
        <f>259.95-249.21</f>
        <v>10.739999999999981</v>
      </c>
      <c r="J318" s="53">
        <v>350</v>
      </c>
    </row>
    <row r="319" spans="1:10" ht="15.6" thickTop="1" thickBot="1" x14ac:dyDescent="0.35">
      <c r="A319" s="92">
        <f>D319-273.15-10</f>
        <v>-92.589999999999975</v>
      </c>
      <c r="B319" s="38" t="s">
        <v>72</v>
      </c>
      <c r="C319" s="5">
        <v>61.09</v>
      </c>
      <c r="D319" s="39">
        <v>190.56</v>
      </c>
      <c r="E319" s="5">
        <v>4799.2</v>
      </c>
      <c r="F319" s="5">
        <v>0.2</v>
      </c>
      <c r="G319" s="5"/>
      <c r="H319" s="5"/>
      <c r="I319" s="5"/>
      <c r="J319" s="5"/>
    </row>
    <row r="320" spans="1:10" ht="15.6" thickTop="1" thickBot="1" x14ac:dyDescent="0.35"/>
    <row r="321" spans="1:10" ht="19.2" thickTop="1" thickBot="1" x14ac:dyDescent="0.35">
      <c r="A321" s="135" t="s">
        <v>255</v>
      </c>
      <c r="B321" s="136"/>
      <c r="C321" s="136"/>
      <c r="D321" s="136"/>
      <c r="E321" s="136"/>
      <c r="F321" s="136"/>
      <c r="G321" s="136"/>
      <c r="H321" s="136"/>
      <c r="I321" s="136"/>
      <c r="J321" s="136"/>
    </row>
    <row r="322" spans="1:10" ht="49.8" customHeight="1" thickTop="1" thickBot="1" x14ac:dyDescent="0.35">
      <c r="A322" s="77" t="s">
        <v>33</v>
      </c>
      <c r="B322" s="77" t="s">
        <v>15</v>
      </c>
      <c r="C322" s="77" t="s">
        <v>22</v>
      </c>
      <c r="D322" s="77" t="s">
        <v>17</v>
      </c>
      <c r="E322" s="77" t="s">
        <v>16</v>
      </c>
      <c r="F322" s="77" t="s">
        <v>28</v>
      </c>
      <c r="G322" s="77" t="s">
        <v>20</v>
      </c>
      <c r="H322" s="77" t="s">
        <v>29</v>
      </c>
      <c r="I322" s="77" t="s">
        <v>21</v>
      </c>
      <c r="J322" s="77" t="s">
        <v>30</v>
      </c>
    </row>
    <row r="323" spans="1:10" ht="15" thickBot="1" x14ac:dyDescent="0.35">
      <c r="A323" s="78">
        <f t="shared" ref="A323:A331" si="38">D323-273.15-10</f>
        <v>20.980000000000018</v>
      </c>
      <c r="B323" s="78" t="s">
        <v>27</v>
      </c>
      <c r="C323" s="78">
        <v>42.9</v>
      </c>
      <c r="D323" s="80">
        <v>304.13</v>
      </c>
      <c r="E323" s="80">
        <v>7474.89</v>
      </c>
      <c r="F323" s="80">
        <v>0.31</v>
      </c>
      <c r="G323" s="82">
        <v>10.17</v>
      </c>
      <c r="H323" s="82">
        <v>900</v>
      </c>
      <c r="I323" s="82">
        <v>11.2</v>
      </c>
      <c r="J323" s="82">
        <v>700</v>
      </c>
    </row>
    <row r="324" spans="1:10" ht="15" customHeight="1" x14ac:dyDescent="0.3">
      <c r="A324" s="86">
        <f t="shared" si="38"/>
        <v>-283.14999999999998</v>
      </c>
      <c r="B324" s="64" t="s">
        <v>178</v>
      </c>
      <c r="C324" s="64"/>
      <c r="D324" s="65"/>
      <c r="E324" s="65"/>
      <c r="F324" s="65"/>
      <c r="G324" s="64"/>
      <c r="H324" s="64"/>
      <c r="I324" s="64"/>
      <c r="J324" s="64"/>
    </row>
    <row r="325" spans="1:10" ht="15" customHeight="1" x14ac:dyDescent="0.3">
      <c r="A325" s="64">
        <f t="shared" si="38"/>
        <v>-283.14999999999998</v>
      </c>
      <c r="B325" s="64" t="s">
        <v>179</v>
      </c>
      <c r="C325" s="64"/>
      <c r="D325" s="65"/>
      <c r="E325" s="65"/>
      <c r="F325" s="65"/>
      <c r="G325" s="64"/>
      <c r="H325" s="64"/>
      <c r="I325" s="64"/>
      <c r="J325" s="64"/>
    </row>
    <row r="326" spans="1:10" ht="15" customHeight="1" x14ac:dyDescent="0.3">
      <c r="A326" s="64">
        <f t="shared" si="38"/>
        <v>-283.14999999999998</v>
      </c>
      <c r="B326" s="64" t="s">
        <v>180</v>
      </c>
      <c r="C326" s="64"/>
      <c r="D326" s="95"/>
      <c r="E326" s="65"/>
      <c r="F326" s="65"/>
      <c r="G326" s="64"/>
      <c r="H326" s="64"/>
      <c r="I326" s="64"/>
      <c r="J326" s="64"/>
    </row>
    <row r="327" spans="1:10" ht="15" customHeight="1" x14ac:dyDescent="0.3">
      <c r="A327" s="64">
        <f t="shared" si="38"/>
        <v>-283.14999999999998</v>
      </c>
      <c r="B327" s="64" t="s">
        <v>181</v>
      </c>
      <c r="C327" s="64"/>
      <c r="D327" s="65"/>
      <c r="E327" s="65"/>
      <c r="F327" s="65"/>
      <c r="G327" s="64"/>
      <c r="H327" s="64"/>
      <c r="I327" s="64"/>
      <c r="J327" s="64"/>
    </row>
    <row r="328" spans="1:10" ht="15" customHeight="1" x14ac:dyDescent="0.3">
      <c r="A328" s="64">
        <f t="shared" si="38"/>
        <v>-283.14999999999998</v>
      </c>
      <c r="B328" s="64" t="s">
        <v>182</v>
      </c>
      <c r="C328" s="64"/>
      <c r="D328" s="65"/>
      <c r="E328" s="65"/>
      <c r="F328" s="65"/>
      <c r="G328" s="64"/>
      <c r="H328" s="64"/>
      <c r="I328" s="64"/>
      <c r="J328" s="64"/>
    </row>
    <row r="329" spans="1:10" ht="15" customHeight="1" x14ac:dyDescent="0.3">
      <c r="A329" s="64">
        <f t="shared" si="38"/>
        <v>-283.14999999999998</v>
      </c>
      <c r="B329" s="64" t="s">
        <v>183</v>
      </c>
      <c r="C329" s="64"/>
      <c r="D329" s="65"/>
      <c r="E329" s="65"/>
      <c r="F329" s="65"/>
      <c r="G329" s="64"/>
      <c r="H329" s="64"/>
      <c r="I329" s="64"/>
      <c r="J329" s="64"/>
    </row>
    <row r="330" spans="1:10" ht="15" customHeight="1" x14ac:dyDescent="0.3">
      <c r="A330" s="64">
        <f t="shared" si="38"/>
        <v>-283.14999999999998</v>
      </c>
      <c r="B330" s="64" t="s">
        <v>184</v>
      </c>
      <c r="C330" s="64"/>
      <c r="D330" s="65"/>
      <c r="E330" s="65"/>
      <c r="F330" s="65"/>
      <c r="G330" s="64"/>
      <c r="H330" s="64"/>
      <c r="I330" s="64"/>
      <c r="J330" s="64"/>
    </row>
    <row r="331" spans="1:10" ht="15" customHeight="1" thickBot="1" x14ac:dyDescent="0.35">
      <c r="A331" s="93">
        <f t="shared" si="38"/>
        <v>-283.14999999999998</v>
      </c>
      <c r="B331" s="93" t="s">
        <v>176</v>
      </c>
      <c r="C331" s="93"/>
      <c r="D331" s="94"/>
      <c r="E331" s="94"/>
      <c r="F331" s="94"/>
      <c r="G331" s="93"/>
      <c r="H331" s="93"/>
      <c r="I331" s="93"/>
      <c r="J331" s="93"/>
    </row>
    <row r="332" spans="1:10" ht="15.6" thickTop="1" thickBot="1" x14ac:dyDescent="0.35"/>
    <row r="333" spans="1:10" ht="19.2" thickTop="1" thickBot="1" x14ac:dyDescent="0.35">
      <c r="A333" s="135" t="s">
        <v>256</v>
      </c>
      <c r="B333" s="136"/>
      <c r="C333" s="136"/>
      <c r="D333" s="136"/>
      <c r="E333" s="136"/>
      <c r="F333" s="136"/>
      <c r="G333" s="136"/>
      <c r="H333" s="136"/>
      <c r="I333" s="136"/>
      <c r="J333" s="136"/>
    </row>
    <row r="334" spans="1:10" ht="42.6" thickTop="1" thickBot="1" x14ac:dyDescent="0.35">
      <c r="A334" s="11" t="s">
        <v>33</v>
      </c>
      <c r="B334" s="11" t="s">
        <v>15</v>
      </c>
      <c r="C334" s="11" t="s">
        <v>22</v>
      </c>
      <c r="D334" s="11" t="s">
        <v>17</v>
      </c>
      <c r="E334" s="11" t="s">
        <v>16</v>
      </c>
      <c r="F334" s="11" t="s">
        <v>28</v>
      </c>
      <c r="G334" s="11" t="s">
        <v>20</v>
      </c>
      <c r="H334" s="11" t="s">
        <v>29</v>
      </c>
      <c r="I334" s="11" t="s">
        <v>21</v>
      </c>
      <c r="J334" s="11" t="s">
        <v>30</v>
      </c>
    </row>
    <row r="335" spans="1:10" ht="15" thickTop="1" x14ac:dyDescent="0.3">
      <c r="A335" s="12">
        <v>20.980000000000018</v>
      </c>
      <c r="B335" s="12" t="s">
        <v>27</v>
      </c>
      <c r="C335" s="12">
        <v>42.9</v>
      </c>
      <c r="D335" s="10">
        <v>304.13</v>
      </c>
      <c r="E335" s="10">
        <v>7474.89</v>
      </c>
      <c r="F335" s="7">
        <v>0.31</v>
      </c>
      <c r="G335" s="6">
        <v>10.17</v>
      </c>
      <c r="H335" s="6">
        <v>900</v>
      </c>
      <c r="I335" s="6">
        <v>11.2</v>
      </c>
      <c r="J335" s="6">
        <v>700</v>
      </c>
    </row>
    <row r="336" spans="1:10" x14ac:dyDescent="0.3">
      <c r="A336" s="6">
        <f>D336-273.15-10</f>
        <v>12.850000000000023</v>
      </c>
      <c r="B336" s="6" t="s">
        <v>42</v>
      </c>
      <c r="C336" s="7">
        <v>42.72</v>
      </c>
      <c r="D336" s="4">
        <v>296</v>
      </c>
      <c r="E336" s="4">
        <v>7953.13</v>
      </c>
      <c r="F336" s="4">
        <v>0.25</v>
      </c>
      <c r="G336" s="6">
        <f>426.55-416.77</f>
        <v>9.7800000000000296</v>
      </c>
      <c r="H336" s="6">
        <v>900</v>
      </c>
      <c r="I336" s="6">
        <f>349.09-338.03</f>
        <v>11.060000000000002</v>
      </c>
      <c r="J336" s="6">
        <v>550</v>
      </c>
    </row>
    <row r="337" spans="1:10" x14ac:dyDescent="0.3">
      <c r="A337" s="6">
        <f t="shared" ref="A337:A343" si="39">D337-273.15-10</f>
        <v>3.4900000000000091</v>
      </c>
      <c r="B337" s="6" t="s">
        <v>58</v>
      </c>
      <c r="C337" s="7">
        <v>43.73</v>
      </c>
      <c r="D337" s="4">
        <v>286.64</v>
      </c>
      <c r="E337" s="4">
        <v>7971.48</v>
      </c>
      <c r="F337" s="4">
        <v>0.23</v>
      </c>
      <c r="G337" s="15">
        <f>418.04-407.11</f>
        <v>10.930000000000007</v>
      </c>
      <c r="H337" s="4">
        <v>800</v>
      </c>
      <c r="I337" s="6">
        <f>339.58-329.09</f>
        <v>10.490000000000009</v>
      </c>
      <c r="J337" s="4">
        <v>550</v>
      </c>
    </row>
    <row r="338" spans="1:10" x14ac:dyDescent="0.3">
      <c r="A338" s="6">
        <f t="shared" si="39"/>
        <v>-6.3700000000000045</v>
      </c>
      <c r="B338" s="6" t="s">
        <v>59</v>
      </c>
      <c r="C338" s="7">
        <v>45.41</v>
      </c>
      <c r="D338" s="4">
        <v>276.77999999999997</v>
      </c>
      <c r="E338" s="4">
        <v>7806.3</v>
      </c>
      <c r="F338" s="4">
        <v>0.24</v>
      </c>
      <c r="G338" s="15">
        <f>413.34-403.28</f>
        <v>10.060000000000002</v>
      </c>
      <c r="H338" s="4">
        <v>750</v>
      </c>
      <c r="I338" s="6">
        <f>327.48-317.49</f>
        <v>9.9900000000000091</v>
      </c>
      <c r="J338" s="4">
        <v>600</v>
      </c>
    </row>
    <row r="339" spans="1:10" x14ac:dyDescent="0.3">
      <c r="A339" s="6">
        <f t="shared" si="39"/>
        <v>-15.899999999999977</v>
      </c>
      <c r="B339" s="6" t="s">
        <v>60</v>
      </c>
      <c r="C339" s="6">
        <v>47.12</v>
      </c>
      <c r="D339" s="6">
        <v>267.25</v>
      </c>
      <c r="E339" s="6">
        <v>7493.5</v>
      </c>
      <c r="F339" s="6">
        <v>0.27</v>
      </c>
      <c r="G339" s="6">
        <f>423.63-413.88</f>
        <v>9.75</v>
      </c>
      <c r="H339" s="6">
        <v>700</v>
      </c>
      <c r="I339" s="6">
        <f>318.36-307.98</f>
        <v>10.379999999999995</v>
      </c>
      <c r="J339" s="6">
        <v>750</v>
      </c>
    </row>
    <row r="340" spans="1:10" x14ac:dyDescent="0.3">
      <c r="A340" s="6">
        <f t="shared" si="39"/>
        <v>-24.549999999999955</v>
      </c>
      <c r="B340" s="6" t="s">
        <v>93</v>
      </c>
      <c r="C340" s="7">
        <v>47.82</v>
      </c>
      <c r="D340" s="4">
        <v>258.60000000000002</v>
      </c>
      <c r="E340" s="4">
        <v>7237.87</v>
      </c>
      <c r="F340" s="4">
        <v>0.25</v>
      </c>
      <c r="G340" s="15">
        <f>411.4-401.45</f>
        <v>9.9499999999999886</v>
      </c>
      <c r="H340" s="4">
        <v>600</v>
      </c>
      <c r="I340" s="6">
        <f>310.5-300.37</f>
        <v>10.129999999999995</v>
      </c>
      <c r="J340" s="4">
        <v>550</v>
      </c>
    </row>
    <row r="341" spans="1:10" x14ac:dyDescent="0.3">
      <c r="A341" s="6">
        <f t="shared" si="39"/>
        <v>-32.759999999999991</v>
      </c>
      <c r="B341" s="6" t="s">
        <v>94</v>
      </c>
      <c r="C341" s="7">
        <v>48.07</v>
      </c>
      <c r="D341" s="4">
        <v>250.39</v>
      </c>
      <c r="E341" s="4">
        <v>7024.97</v>
      </c>
      <c r="F341" s="4">
        <v>0.22</v>
      </c>
      <c r="G341" s="15">
        <f>394.83-384.19</f>
        <v>10.639999999999986</v>
      </c>
      <c r="H341" s="4">
        <v>500</v>
      </c>
      <c r="I341" s="6">
        <f>304.62-294.01</f>
        <v>10.610000000000014</v>
      </c>
      <c r="J341" s="4">
        <v>425</v>
      </c>
    </row>
    <row r="342" spans="1:10" x14ac:dyDescent="0.3">
      <c r="A342" s="6">
        <f t="shared" si="39"/>
        <v>-39.919999999999987</v>
      </c>
      <c r="B342" s="6" t="s">
        <v>95</v>
      </c>
      <c r="C342" s="7">
        <v>48.71</v>
      </c>
      <c r="D342" s="4">
        <v>243.23</v>
      </c>
      <c r="E342" s="4">
        <v>6908.85</v>
      </c>
      <c r="F342" s="4">
        <v>0.22</v>
      </c>
      <c r="G342" s="15">
        <f>405.65-394.76</f>
        <v>10.889999999999986</v>
      </c>
      <c r="H342" s="4">
        <v>450</v>
      </c>
      <c r="I342" s="6">
        <f>303.64-293.55</f>
        <v>10.089999999999975</v>
      </c>
      <c r="J342" s="4">
        <v>425</v>
      </c>
    </row>
    <row r="343" spans="1:10" x14ac:dyDescent="0.3">
      <c r="A343" s="8">
        <f t="shared" si="39"/>
        <v>-47.929999999999978</v>
      </c>
      <c r="B343" s="8" t="s">
        <v>96</v>
      </c>
      <c r="C343" s="31">
        <v>49.03</v>
      </c>
      <c r="D343" s="14">
        <v>235.22</v>
      </c>
      <c r="E343" s="14">
        <v>6845.67</v>
      </c>
      <c r="F343" s="14">
        <v>0.2</v>
      </c>
      <c r="G343" s="43">
        <f>397.91-387.02</f>
        <v>10.890000000000043</v>
      </c>
      <c r="H343" s="14">
        <v>400</v>
      </c>
      <c r="I343" s="8">
        <f>299.96-290</f>
        <v>9.9599999999999795</v>
      </c>
      <c r="J343" s="14">
        <v>375</v>
      </c>
    </row>
    <row r="344" spans="1:10" ht="15" thickBot="1" x14ac:dyDescent="0.35">
      <c r="A344" s="6">
        <f>D344-273.15-10</f>
        <v>-58.269999999999982</v>
      </c>
      <c r="B344" s="6" t="s">
        <v>97</v>
      </c>
      <c r="C344" s="7">
        <v>49.88</v>
      </c>
      <c r="D344" s="4">
        <v>224.88</v>
      </c>
      <c r="E344" s="14">
        <v>6588.89</v>
      </c>
      <c r="F344" s="4">
        <v>0.2</v>
      </c>
      <c r="G344" s="15">
        <f>395.78-385.68</f>
        <v>10.099999999999966</v>
      </c>
      <c r="H344" s="4">
        <v>350</v>
      </c>
      <c r="I344" s="6">
        <f>291.73-281.76</f>
        <v>9.9700000000000273</v>
      </c>
      <c r="J344" s="4">
        <v>350</v>
      </c>
    </row>
    <row r="345" spans="1:10" x14ac:dyDescent="0.3">
      <c r="A345" s="86">
        <f t="shared" ref="A345:A360" si="40">D345-273.15-10</f>
        <v>-283.14999999999998</v>
      </c>
      <c r="B345" s="86" t="s">
        <v>151</v>
      </c>
      <c r="C345" s="87"/>
      <c r="D345" s="87"/>
      <c r="E345" s="87"/>
      <c r="F345" s="87"/>
      <c r="G345" s="88"/>
      <c r="H345" s="87"/>
      <c r="I345" s="86"/>
      <c r="J345" s="87"/>
    </row>
    <row r="346" spans="1:10" x14ac:dyDescent="0.3">
      <c r="A346" s="64">
        <f t="shared" si="40"/>
        <v>-283.14999999999998</v>
      </c>
      <c r="B346" s="64" t="s">
        <v>150</v>
      </c>
      <c r="C346" s="65"/>
      <c r="D346" s="65"/>
      <c r="E346" s="65"/>
      <c r="F346" s="65"/>
      <c r="G346" s="67"/>
      <c r="H346" s="65"/>
      <c r="I346" s="64"/>
      <c r="J346" s="65"/>
    </row>
    <row r="347" spans="1:10" x14ac:dyDescent="0.3">
      <c r="A347" s="64">
        <f t="shared" si="40"/>
        <v>-283.14999999999998</v>
      </c>
      <c r="B347" s="64" t="s">
        <v>153</v>
      </c>
      <c r="C347" s="65"/>
      <c r="D347" s="65"/>
      <c r="E347" s="65"/>
      <c r="F347" s="65"/>
      <c r="G347" s="67"/>
      <c r="H347" s="65"/>
      <c r="I347" s="64"/>
      <c r="J347" s="65"/>
    </row>
    <row r="348" spans="1:10" x14ac:dyDescent="0.3">
      <c r="A348" s="64">
        <f t="shared" si="40"/>
        <v>-283.14999999999998</v>
      </c>
      <c r="B348" s="64" t="s">
        <v>126</v>
      </c>
      <c r="C348" s="65"/>
      <c r="D348" s="65"/>
      <c r="E348" s="65"/>
      <c r="F348" s="65"/>
      <c r="G348" s="67"/>
      <c r="H348" s="65"/>
      <c r="I348" s="64"/>
      <c r="J348" s="65"/>
    </row>
    <row r="349" spans="1:10" x14ac:dyDescent="0.3">
      <c r="A349" s="64">
        <f t="shared" si="40"/>
        <v>-283.14999999999998</v>
      </c>
      <c r="B349" s="64" t="s">
        <v>139</v>
      </c>
      <c r="C349" s="65"/>
      <c r="D349" s="65"/>
      <c r="E349" s="65"/>
      <c r="F349" s="65"/>
      <c r="G349" s="67"/>
      <c r="H349" s="65"/>
      <c r="I349" s="64"/>
      <c r="J349" s="65"/>
    </row>
    <row r="350" spans="1:10" x14ac:dyDescent="0.3">
      <c r="A350" s="64">
        <f t="shared" si="40"/>
        <v>-283.14999999999998</v>
      </c>
      <c r="B350" s="64" t="s">
        <v>140</v>
      </c>
      <c r="C350" s="65"/>
      <c r="D350" s="65"/>
      <c r="E350" s="65"/>
      <c r="F350" s="65"/>
      <c r="G350" s="67"/>
      <c r="H350" s="65"/>
      <c r="I350" s="64"/>
      <c r="J350" s="65"/>
    </row>
    <row r="351" spans="1:10" ht="15" thickBot="1" x14ac:dyDescent="0.35">
      <c r="A351" s="89">
        <f t="shared" si="40"/>
        <v>-283.14999999999998</v>
      </c>
      <c r="B351" s="89" t="s">
        <v>152</v>
      </c>
      <c r="C351" s="90"/>
      <c r="D351" s="90"/>
      <c r="E351" s="90"/>
      <c r="F351" s="90"/>
      <c r="G351" s="91"/>
      <c r="H351" s="90"/>
      <c r="I351" s="89"/>
      <c r="J351" s="90"/>
    </row>
    <row r="352" spans="1:10" x14ac:dyDescent="0.3">
      <c r="A352" s="86">
        <f t="shared" si="40"/>
        <v>-283.14999999999998</v>
      </c>
      <c r="B352" s="86" t="s">
        <v>159</v>
      </c>
      <c r="C352" s="87"/>
      <c r="D352" s="87"/>
      <c r="E352" s="87"/>
      <c r="F352" s="87"/>
      <c r="G352" s="88"/>
      <c r="H352" s="87"/>
      <c r="I352" s="86"/>
      <c r="J352" s="87"/>
    </row>
    <row r="353" spans="1:10" x14ac:dyDescent="0.3">
      <c r="A353" s="64">
        <f t="shared" si="40"/>
        <v>-283.14999999999998</v>
      </c>
      <c r="B353" s="64" t="s">
        <v>160</v>
      </c>
      <c r="C353" s="65"/>
      <c r="D353" s="65"/>
      <c r="E353" s="65"/>
      <c r="F353" s="65"/>
      <c r="G353" s="67"/>
      <c r="H353" s="65"/>
      <c r="I353" s="64"/>
      <c r="J353" s="65"/>
    </row>
    <row r="354" spans="1:10" x14ac:dyDescent="0.3">
      <c r="A354" s="64">
        <f t="shared" si="40"/>
        <v>-283.14999999999998</v>
      </c>
      <c r="B354" s="64" t="s">
        <v>161</v>
      </c>
      <c r="C354" s="65"/>
      <c r="D354" s="65"/>
      <c r="E354" s="65"/>
      <c r="F354" s="65"/>
      <c r="G354" s="67"/>
      <c r="H354" s="65"/>
      <c r="I354" s="64"/>
      <c r="J354" s="65"/>
    </row>
    <row r="355" spans="1:10" x14ac:dyDescent="0.3">
      <c r="A355" s="64">
        <f t="shared" si="40"/>
        <v>-283.14999999999998</v>
      </c>
      <c r="B355" s="64" t="s">
        <v>154</v>
      </c>
      <c r="C355" s="65"/>
      <c r="D355" s="65"/>
      <c r="E355" s="65"/>
      <c r="F355" s="65"/>
      <c r="G355" s="67"/>
      <c r="H355" s="65"/>
      <c r="I355" s="64"/>
      <c r="J355" s="65"/>
    </row>
    <row r="356" spans="1:10" x14ac:dyDescent="0.3">
      <c r="A356" s="64">
        <f t="shared" si="40"/>
        <v>-283.14999999999998</v>
      </c>
      <c r="B356" s="64" t="s">
        <v>157</v>
      </c>
      <c r="C356" s="65"/>
      <c r="D356" s="65"/>
      <c r="E356" s="65"/>
      <c r="F356" s="65"/>
      <c r="G356" s="67"/>
      <c r="H356" s="65"/>
      <c r="I356" s="64"/>
      <c r="J356" s="65"/>
    </row>
    <row r="357" spans="1:10" x14ac:dyDescent="0.3">
      <c r="A357" s="64">
        <f t="shared" si="40"/>
        <v>-283.14999999999998</v>
      </c>
      <c r="B357" s="64" t="s">
        <v>156</v>
      </c>
      <c r="C357" s="65"/>
      <c r="D357" s="65"/>
      <c r="E357" s="65"/>
      <c r="F357" s="65"/>
      <c r="G357" s="67"/>
      <c r="H357" s="65"/>
      <c r="I357" s="64"/>
      <c r="J357" s="65"/>
    </row>
    <row r="358" spans="1:10" x14ac:dyDescent="0.3">
      <c r="A358" s="64">
        <f t="shared" si="40"/>
        <v>-283.14999999999998</v>
      </c>
      <c r="B358" s="64" t="s">
        <v>155</v>
      </c>
      <c r="C358" s="65"/>
      <c r="D358" s="65"/>
      <c r="E358" s="65"/>
      <c r="F358" s="65"/>
      <c r="G358" s="67"/>
      <c r="H358" s="65"/>
      <c r="I358" s="64"/>
      <c r="J358" s="65"/>
    </row>
    <row r="359" spans="1:10" ht="15" thickBot="1" x14ac:dyDescent="0.35">
      <c r="A359" s="89">
        <f t="shared" si="40"/>
        <v>-283.14999999999998</v>
      </c>
      <c r="B359" s="89" t="s">
        <v>158</v>
      </c>
      <c r="C359" s="90"/>
      <c r="D359" s="90"/>
      <c r="E359" s="90"/>
      <c r="F359" s="90"/>
      <c r="G359" s="91"/>
      <c r="H359" s="90"/>
      <c r="I359" s="89"/>
      <c r="J359" s="90"/>
    </row>
    <row r="360" spans="1:10" ht="15.6" thickTop="1" thickBot="1" x14ac:dyDescent="0.35">
      <c r="A360" s="11">
        <f t="shared" si="40"/>
        <v>-73.669999999999987</v>
      </c>
      <c r="B360" s="52" t="s">
        <v>85</v>
      </c>
      <c r="C360" s="51">
        <v>50.89</v>
      </c>
      <c r="D360" s="51">
        <v>209.48</v>
      </c>
      <c r="E360" s="51">
        <v>5725</v>
      </c>
      <c r="F360" s="51">
        <v>0.15</v>
      </c>
      <c r="G360" s="51">
        <f>346.7-336.49</f>
        <v>10.20999999999998</v>
      </c>
      <c r="H360" s="51">
        <v>250</v>
      </c>
      <c r="I360" s="51">
        <f>271.64-261.71</f>
        <v>9.9300000000000068</v>
      </c>
      <c r="J360" s="51">
        <v>250</v>
      </c>
    </row>
    <row r="361" spans="1:10" ht="15.6" thickTop="1" thickBot="1" x14ac:dyDescent="0.35"/>
    <row r="362" spans="1:10" ht="19.2" thickTop="1" thickBot="1" x14ac:dyDescent="0.35">
      <c r="A362" s="135" t="s">
        <v>257</v>
      </c>
      <c r="B362" s="136"/>
      <c r="C362" s="136"/>
      <c r="D362" s="136"/>
      <c r="E362" s="136"/>
      <c r="F362" s="136"/>
      <c r="G362" s="136"/>
      <c r="H362" s="136"/>
      <c r="I362" s="136"/>
      <c r="J362" s="136"/>
    </row>
    <row r="363" spans="1:10" ht="42.6" thickTop="1" thickBot="1" x14ac:dyDescent="0.35">
      <c r="A363" s="11" t="s">
        <v>33</v>
      </c>
      <c r="B363" s="11" t="s">
        <v>15</v>
      </c>
      <c r="C363" s="11" t="s">
        <v>22</v>
      </c>
      <c r="D363" s="11" t="s">
        <v>17</v>
      </c>
      <c r="E363" s="11" t="s">
        <v>16</v>
      </c>
      <c r="F363" s="11" t="s">
        <v>28</v>
      </c>
      <c r="G363" s="11" t="s">
        <v>20</v>
      </c>
      <c r="H363" s="11" t="s">
        <v>29</v>
      </c>
      <c r="I363" s="11" t="s">
        <v>21</v>
      </c>
      <c r="J363" s="11" t="s">
        <v>30</v>
      </c>
    </row>
    <row r="364" spans="1:10" ht="15" thickTop="1" x14ac:dyDescent="0.3">
      <c r="A364" s="12">
        <v>20.980000000000018</v>
      </c>
      <c r="B364" s="12" t="s">
        <v>27</v>
      </c>
      <c r="C364" s="12">
        <v>42.9</v>
      </c>
      <c r="D364" s="10">
        <v>304.13</v>
      </c>
      <c r="E364" s="10">
        <v>7474.89</v>
      </c>
      <c r="F364" s="7">
        <v>0.31</v>
      </c>
      <c r="G364" s="6">
        <v>10.17</v>
      </c>
      <c r="H364" s="6">
        <v>900</v>
      </c>
      <c r="I364" s="6">
        <v>11.2</v>
      </c>
      <c r="J364" s="6">
        <v>700</v>
      </c>
    </row>
    <row r="365" spans="1:10" x14ac:dyDescent="0.3">
      <c r="A365" s="6">
        <f>D365-273.15-10</f>
        <v>12.850000000000023</v>
      </c>
      <c r="B365" s="6" t="s">
        <v>42</v>
      </c>
      <c r="C365" s="7">
        <v>42.72</v>
      </c>
      <c r="D365" s="4">
        <v>296</v>
      </c>
      <c r="E365" s="4">
        <v>7953.13</v>
      </c>
      <c r="F365" s="4">
        <v>0.25</v>
      </c>
      <c r="G365" s="6">
        <f>426.55-416.77</f>
        <v>9.7800000000000296</v>
      </c>
      <c r="H365" s="6">
        <v>900</v>
      </c>
      <c r="I365" s="6">
        <f>349.09-338.03</f>
        <v>11.060000000000002</v>
      </c>
      <c r="J365" s="6">
        <v>550</v>
      </c>
    </row>
    <row r="366" spans="1:10" x14ac:dyDescent="0.3">
      <c r="A366" s="6">
        <f t="shared" ref="A366:A372" si="41">D366-273.15-10</f>
        <v>3.4900000000000091</v>
      </c>
      <c r="B366" s="6" t="s">
        <v>58</v>
      </c>
      <c r="C366" s="7">
        <v>43.73</v>
      </c>
      <c r="D366" s="4">
        <v>286.64</v>
      </c>
      <c r="E366" s="4">
        <v>7971.48</v>
      </c>
      <c r="F366" s="4">
        <v>0.23</v>
      </c>
      <c r="G366" s="15">
        <f>418.04-407.11</f>
        <v>10.930000000000007</v>
      </c>
      <c r="H366" s="4">
        <v>800</v>
      </c>
      <c r="I366" s="6">
        <f>339.58-329.09</f>
        <v>10.490000000000009</v>
      </c>
      <c r="J366" s="4">
        <v>550</v>
      </c>
    </row>
    <row r="367" spans="1:10" x14ac:dyDescent="0.3">
      <c r="A367" s="6">
        <f t="shared" si="41"/>
        <v>-6.3700000000000045</v>
      </c>
      <c r="B367" s="6" t="s">
        <v>59</v>
      </c>
      <c r="C367" s="7">
        <v>45.41</v>
      </c>
      <c r="D367" s="4">
        <v>276.77999999999997</v>
      </c>
      <c r="E367" s="4">
        <v>7806.3</v>
      </c>
      <c r="F367" s="4">
        <v>0.24</v>
      </c>
      <c r="G367" s="15">
        <f>413.34-403.28</f>
        <v>10.060000000000002</v>
      </c>
      <c r="H367" s="4">
        <v>750</v>
      </c>
      <c r="I367" s="6">
        <f>327.48-317.49</f>
        <v>9.9900000000000091</v>
      </c>
      <c r="J367" s="4">
        <v>600</v>
      </c>
    </row>
    <row r="368" spans="1:10" x14ac:dyDescent="0.3">
      <c r="A368" s="6">
        <f t="shared" si="41"/>
        <v>-15.899999999999977</v>
      </c>
      <c r="B368" s="6" t="s">
        <v>60</v>
      </c>
      <c r="C368" s="6">
        <v>47.12</v>
      </c>
      <c r="D368" s="6">
        <v>267.25</v>
      </c>
      <c r="E368" s="6">
        <v>7493.5</v>
      </c>
      <c r="F368" s="6">
        <v>0.27</v>
      </c>
      <c r="G368" s="6">
        <f>423.63-413.88</f>
        <v>9.75</v>
      </c>
      <c r="H368" s="6">
        <v>700</v>
      </c>
      <c r="I368" s="6">
        <f>318.36-307.98</f>
        <v>10.379999999999995</v>
      </c>
      <c r="J368" s="6">
        <v>750</v>
      </c>
    </row>
    <row r="369" spans="1:10" x14ac:dyDescent="0.3">
      <c r="A369" s="6">
        <f t="shared" si="41"/>
        <v>-24.549999999999955</v>
      </c>
      <c r="B369" s="6" t="s">
        <v>93</v>
      </c>
      <c r="C369" s="7">
        <v>47.82</v>
      </c>
      <c r="D369" s="4">
        <v>258.60000000000002</v>
      </c>
      <c r="E369" s="4">
        <v>7237.87</v>
      </c>
      <c r="F369" s="4">
        <v>0.25</v>
      </c>
      <c r="G369" s="15">
        <f>411.4-401.45</f>
        <v>9.9499999999999886</v>
      </c>
      <c r="H369" s="4">
        <v>600</v>
      </c>
      <c r="I369" s="6">
        <f>310.5-300.37</f>
        <v>10.129999999999995</v>
      </c>
      <c r="J369" s="4">
        <v>550</v>
      </c>
    </row>
    <row r="370" spans="1:10" x14ac:dyDescent="0.3">
      <c r="A370" s="6">
        <f t="shared" si="41"/>
        <v>-32.759999999999991</v>
      </c>
      <c r="B370" s="6" t="s">
        <v>94</v>
      </c>
      <c r="C370" s="7">
        <v>48.07</v>
      </c>
      <c r="D370" s="4">
        <v>250.39</v>
      </c>
      <c r="E370" s="4">
        <v>7024.97</v>
      </c>
      <c r="F370" s="4">
        <v>0.22</v>
      </c>
      <c r="G370" s="15">
        <f>394.83-384.19</f>
        <v>10.639999999999986</v>
      </c>
      <c r="H370" s="4">
        <v>500</v>
      </c>
      <c r="I370" s="6">
        <f>304.62-294.01</f>
        <v>10.610000000000014</v>
      </c>
      <c r="J370" s="4">
        <v>425</v>
      </c>
    </row>
    <row r="371" spans="1:10" x14ac:dyDescent="0.3">
      <c r="A371" s="6">
        <f t="shared" si="41"/>
        <v>-39.919999999999987</v>
      </c>
      <c r="B371" s="6" t="s">
        <v>95</v>
      </c>
      <c r="C371" s="7">
        <v>48.71</v>
      </c>
      <c r="D371" s="4">
        <v>243.23</v>
      </c>
      <c r="E371" s="4">
        <v>6908.85</v>
      </c>
      <c r="F371" s="4">
        <v>0.22</v>
      </c>
      <c r="G371" s="15">
        <f>405.65-394.76</f>
        <v>10.889999999999986</v>
      </c>
      <c r="H371" s="4">
        <v>450</v>
      </c>
      <c r="I371" s="6">
        <f>303.64-293.55</f>
        <v>10.089999999999975</v>
      </c>
      <c r="J371" s="4">
        <v>425</v>
      </c>
    </row>
    <row r="372" spans="1:10" x14ac:dyDescent="0.3">
      <c r="A372" s="8">
        <f t="shared" si="41"/>
        <v>-47.929999999999978</v>
      </c>
      <c r="B372" s="8" t="s">
        <v>96</v>
      </c>
      <c r="C372" s="31">
        <v>49.03</v>
      </c>
      <c r="D372" s="14">
        <v>235.22</v>
      </c>
      <c r="E372" s="14">
        <v>6845.67</v>
      </c>
      <c r="F372" s="14">
        <v>0.2</v>
      </c>
      <c r="G372" s="43">
        <f>397.91-387.02</f>
        <v>10.890000000000043</v>
      </c>
      <c r="H372" s="14">
        <v>400</v>
      </c>
      <c r="I372" s="8">
        <f>299.96-290</f>
        <v>9.9599999999999795</v>
      </c>
      <c r="J372" s="14">
        <v>375</v>
      </c>
    </row>
    <row r="373" spans="1:10" ht="15" thickBot="1" x14ac:dyDescent="0.35">
      <c r="A373" s="6">
        <f>D373-273.15-10</f>
        <v>-58.269999999999982</v>
      </c>
      <c r="B373" s="6" t="s">
        <v>97</v>
      </c>
      <c r="C373" s="7">
        <v>49.88</v>
      </c>
      <c r="D373" s="4">
        <v>224.88</v>
      </c>
      <c r="E373" s="14">
        <v>6588.89</v>
      </c>
      <c r="F373" s="4">
        <v>0.2</v>
      </c>
      <c r="G373" s="15">
        <f>395.78-385.68</f>
        <v>10.099999999999966</v>
      </c>
      <c r="H373" s="4">
        <v>350</v>
      </c>
      <c r="I373" s="6">
        <f>291.73-281.76</f>
        <v>9.9700000000000273</v>
      </c>
      <c r="J373" s="4">
        <v>350</v>
      </c>
    </row>
    <row r="374" spans="1:10" x14ac:dyDescent="0.3">
      <c r="A374" s="86">
        <f t="shared" ref="A374:A389" si="42">D374-273.15-10</f>
        <v>-283.14999999999998</v>
      </c>
      <c r="B374" s="86" t="s">
        <v>151</v>
      </c>
      <c r="C374" s="87"/>
      <c r="D374" s="87"/>
      <c r="E374" s="87"/>
      <c r="F374" s="87"/>
      <c r="G374" s="88"/>
      <c r="H374" s="87"/>
      <c r="I374" s="86"/>
      <c r="J374" s="87"/>
    </row>
    <row r="375" spans="1:10" x14ac:dyDescent="0.3">
      <c r="A375" s="64">
        <f t="shared" si="42"/>
        <v>-283.14999999999998</v>
      </c>
      <c r="B375" s="64" t="s">
        <v>150</v>
      </c>
      <c r="C375" s="65"/>
      <c r="D375" s="65"/>
      <c r="E375" s="65"/>
      <c r="F375" s="65"/>
      <c r="G375" s="67"/>
      <c r="H375" s="65"/>
      <c r="I375" s="64"/>
      <c r="J375" s="65"/>
    </row>
    <row r="376" spans="1:10" x14ac:dyDescent="0.3">
      <c r="A376" s="64">
        <f t="shared" si="42"/>
        <v>-283.14999999999998</v>
      </c>
      <c r="B376" s="64" t="s">
        <v>153</v>
      </c>
      <c r="C376" s="65"/>
      <c r="D376" s="65"/>
      <c r="E376" s="65"/>
      <c r="F376" s="65"/>
      <c r="G376" s="67"/>
      <c r="H376" s="65"/>
      <c r="I376" s="64"/>
      <c r="J376" s="65"/>
    </row>
    <row r="377" spans="1:10" x14ac:dyDescent="0.3">
      <c r="A377" s="64">
        <f t="shared" si="42"/>
        <v>-283.14999999999998</v>
      </c>
      <c r="B377" s="64" t="s">
        <v>126</v>
      </c>
      <c r="C377" s="65"/>
      <c r="D377" s="65"/>
      <c r="E377" s="65"/>
      <c r="F377" s="65"/>
      <c r="G377" s="67"/>
      <c r="H377" s="65"/>
      <c r="I377" s="64"/>
      <c r="J377" s="65"/>
    </row>
    <row r="378" spans="1:10" x14ac:dyDescent="0.3">
      <c r="A378" s="64">
        <f t="shared" si="42"/>
        <v>-283.14999999999998</v>
      </c>
      <c r="B378" s="64" t="s">
        <v>139</v>
      </c>
      <c r="C378" s="65"/>
      <c r="D378" s="65"/>
      <c r="E378" s="65"/>
      <c r="F378" s="65"/>
      <c r="G378" s="67"/>
      <c r="H378" s="65"/>
      <c r="I378" s="64"/>
      <c r="J378" s="65"/>
    </row>
    <row r="379" spans="1:10" x14ac:dyDescent="0.3">
      <c r="A379" s="64">
        <f t="shared" si="42"/>
        <v>-283.14999999999998</v>
      </c>
      <c r="B379" s="64" t="s">
        <v>140</v>
      </c>
      <c r="C379" s="65">
        <v>51.55</v>
      </c>
      <c r="D379" s="65"/>
      <c r="E379" s="65"/>
      <c r="F379" s="65"/>
      <c r="G379" s="67"/>
      <c r="H379" s="65"/>
      <c r="I379" s="64"/>
      <c r="J379" s="65"/>
    </row>
    <row r="380" spans="1:10" ht="15" thickBot="1" x14ac:dyDescent="0.35">
      <c r="A380" s="89">
        <f t="shared" si="42"/>
        <v>-283.14999999999998</v>
      </c>
      <c r="B380" s="89" t="s">
        <v>152</v>
      </c>
      <c r="C380" s="90"/>
      <c r="D380" s="90"/>
      <c r="E380" s="90"/>
      <c r="F380" s="90"/>
      <c r="G380" s="91"/>
      <c r="H380" s="90"/>
      <c r="I380" s="89"/>
      <c r="J380" s="90"/>
    </row>
    <row r="381" spans="1:10" x14ac:dyDescent="0.3">
      <c r="A381" s="86">
        <f t="shared" si="42"/>
        <v>-283.14999999999998</v>
      </c>
      <c r="B381" s="86" t="s">
        <v>159</v>
      </c>
      <c r="C381" s="87"/>
      <c r="D381" s="87"/>
      <c r="E381" s="87"/>
      <c r="F381" s="87"/>
      <c r="G381" s="88"/>
      <c r="H381" s="87"/>
      <c r="I381" s="86"/>
      <c r="J381" s="87"/>
    </row>
    <row r="382" spans="1:10" x14ac:dyDescent="0.3">
      <c r="A382" s="64">
        <f t="shared" si="42"/>
        <v>-283.14999999999998</v>
      </c>
      <c r="B382" s="64" t="s">
        <v>160</v>
      </c>
      <c r="C382" s="65"/>
      <c r="D382" s="65"/>
      <c r="E382" s="65"/>
      <c r="F382" s="65"/>
      <c r="G382" s="67"/>
      <c r="H382" s="65"/>
      <c r="I382" s="64"/>
      <c r="J382" s="65"/>
    </row>
    <row r="383" spans="1:10" x14ac:dyDescent="0.3">
      <c r="A383" s="64">
        <f t="shared" si="42"/>
        <v>-283.14999999999998</v>
      </c>
      <c r="B383" s="64" t="s">
        <v>161</v>
      </c>
      <c r="C383" s="65"/>
      <c r="D383" s="65"/>
      <c r="E383" s="65"/>
      <c r="F383" s="65"/>
      <c r="G383" s="67"/>
      <c r="H383" s="65"/>
      <c r="I383" s="64"/>
      <c r="J383" s="65"/>
    </row>
    <row r="384" spans="1:10" x14ac:dyDescent="0.3">
      <c r="A384" s="64">
        <f t="shared" si="42"/>
        <v>-283.14999999999998</v>
      </c>
      <c r="B384" s="64" t="s">
        <v>154</v>
      </c>
      <c r="C384" s="65"/>
      <c r="D384" s="65"/>
      <c r="E384" s="65"/>
      <c r="F384" s="65"/>
      <c r="G384" s="67"/>
      <c r="H384" s="65"/>
      <c r="I384" s="64"/>
      <c r="J384" s="65"/>
    </row>
    <row r="385" spans="1:10" x14ac:dyDescent="0.3">
      <c r="A385" s="64">
        <f t="shared" si="42"/>
        <v>-283.14999999999998</v>
      </c>
      <c r="B385" s="64" t="s">
        <v>157</v>
      </c>
      <c r="C385" s="65"/>
      <c r="D385" s="65"/>
      <c r="E385" s="65"/>
      <c r="F385" s="65"/>
      <c r="G385" s="67"/>
      <c r="H385" s="65"/>
      <c r="I385" s="64"/>
      <c r="J385" s="65"/>
    </row>
    <row r="386" spans="1:10" x14ac:dyDescent="0.3">
      <c r="A386" s="64">
        <f t="shared" si="42"/>
        <v>-283.14999999999998</v>
      </c>
      <c r="B386" s="64" t="s">
        <v>156</v>
      </c>
      <c r="C386" s="65"/>
      <c r="D386" s="65"/>
      <c r="E386" s="65"/>
      <c r="F386" s="65"/>
      <c r="G386" s="67"/>
      <c r="H386" s="65"/>
      <c r="I386" s="64"/>
      <c r="J386" s="65"/>
    </row>
    <row r="387" spans="1:10" x14ac:dyDescent="0.3">
      <c r="A387" s="64">
        <f t="shared" si="42"/>
        <v>-283.14999999999998</v>
      </c>
      <c r="B387" s="64" t="s">
        <v>155</v>
      </c>
      <c r="C387" s="65">
        <v>47.07</v>
      </c>
      <c r="D387" s="65"/>
      <c r="E387" s="65"/>
      <c r="F387" s="65"/>
      <c r="G387" s="67"/>
      <c r="H387" s="65"/>
      <c r="I387" s="64"/>
      <c r="J387" s="65"/>
    </row>
    <row r="388" spans="1:10" ht="15" thickBot="1" x14ac:dyDescent="0.35">
      <c r="A388" s="89">
        <f t="shared" si="42"/>
        <v>-283.14999999999998</v>
      </c>
      <c r="B388" s="89" t="s">
        <v>158</v>
      </c>
      <c r="C388" s="90"/>
      <c r="D388" s="90"/>
      <c r="E388" s="90"/>
      <c r="F388" s="90"/>
      <c r="G388" s="91"/>
      <c r="H388" s="90"/>
      <c r="I388" s="89"/>
      <c r="J388" s="90"/>
    </row>
    <row r="389" spans="1:10" ht="15.6" thickTop="1" thickBot="1" x14ac:dyDescent="0.35">
      <c r="A389" s="11">
        <f t="shared" si="42"/>
        <v>-73.669999999999987</v>
      </c>
      <c r="B389" s="52" t="s">
        <v>85</v>
      </c>
      <c r="C389" s="51">
        <v>50.89</v>
      </c>
      <c r="D389" s="51">
        <v>209.48</v>
      </c>
      <c r="E389" s="51">
        <v>5725</v>
      </c>
      <c r="F389" s="51">
        <v>0.15</v>
      </c>
      <c r="G389" s="51">
        <f>346.7-336.49</f>
        <v>10.20999999999998</v>
      </c>
      <c r="H389" s="51">
        <v>250</v>
      </c>
      <c r="I389" s="51">
        <f>271.64-261.71</f>
        <v>9.9300000000000068</v>
      </c>
      <c r="J389" s="51">
        <v>250</v>
      </c>
    </row>
    <row r="390" spans="1:10" ht="15.6" thickTop="1" thickBot="1" x14ac:dyDescent="0.35"/>
    <row r="391" spans="1:10" ht="19.2" thickTop="1" thickBot="1" x14ac:dyDescent="0.35">
      <c r="A391" s="135" t="s">
        <v>258</v>
      </c>
      <c r="B391" s="136"/>
      <c r="C391" s="136"/>
      <c r="D391" s="136"/>
      <c r="E391" s="136"/>
      <c r="F391" s="136"/>
      <c r="G391" s="136"/>
      <c r="H391" s="136"/>
      <c r="I391" s="136"/>
      <c r="J391" s="136"/>
    </row>
    <row r="392" spans="1:10" ht="42.6" thickTop="1" thickBot="1" x14ac:dyDescent="0.35">
      <c r="A392" s="11" t="s">
        <v>33</v>
      </c>
      <c r="B392" s="11" t="s">
        <v>15</v>
      </c>
      <c r="C392" s="11" t="s">
        <v>22</v>
      </c>
      <c r="D392" s="11" t="s">
        <v>17</v>
      </c>
      <c r="E392" s="11" t="s">
        <v>16</v>
      </c>
      <c r="F392" s="11" t="s">
        <v>28</v>
      </c>
      <c r="G392" s="11" t="s">
        <v>20</v>
      </c>
      <c r="H392" s="11" t="s">
        <v>29</v>
      </c>
      <c r="I392" s="11" t="s">
        <v>21</v>
      </c>
      <c r="J392" s="11" t="s">
        <v>30</v>
      </c>
    </row>
    <row r="393" spans="1:10" ht="15.6" thickTop="1" thickBot="1" x14ac:dyDescent="0.35">
      <c r="A393" s="83">
        <v>20.980000000000018</v>
      </c>
      <c r="B393" s="83" t="s">
        <v>27</v>
      </c>
      <c r="C393" s="83">
        <v>42.9</v>
      </c>
      <c r="D393" s="84">
        <v>304.13</v>
      </c>
      <c r="E393" s="84">
        <v>7474.89</v>
      </c>
      <c r="F393" s="84">
        <v>0.31</v>
      </c>
      <c r="G393" s="85">
        <v>10.17</v>
      </c>
      <c r="H393" s="85">
        <v>900</v>
      </c>
      <c r="I393" s="85">
        <v>11.2</v>
      </c>
      <c r="J393" s="85">
        <v>700</v>
      </c>
    </row>
    <row r="394" spans="1:10" x14ac:dyDescent="0.3">
      <c r="A394" s="86">
        <f t="shared" ref="A394:A410" si="43">D394-273.15-10</f>
        <v>-283.14999999999998</v>
      </c>
      <c r="B394" s="86" t="s">
        <v>138</v>
      </c>
      <c r="C394" s="87"/>
      <c r="D394" s="87"/>
      <c r="E394" s="87"/>
      <c r="F394" s="87"/>
      <c r="G394" s="88"/>
      <c r="H394" s="87"/>
      <c r="I394" s="86"/>
      <c r="J394" s="87"/>
    </row>
    <row r="395" spans="1:10" x14ac:dyDescent="0.3">
      <c r="A395" s="64">
        <f t="shared" si="43"/>
        <v>-283.14999999999998</v>
      </c>
      <c r="B395" s="64" t="s">
        <v>137</v>
      </c>
      <c r="C395" s="65">
        <v>47.22</v>
      </c>
      <c r="D395" s="66"/>
      <c r="E395" s="66"/>
      <c r="F395" s="66"/>
      <c r="G395" s="67"/>
      <c r="H395" s="66"/>
      <c r="I395" s="64"/>
      <c r="J395" s="66"/>
    </row>
    <row r="396" spans="1:10" x14ac:dyDescent="0.3">
      <c r="A396" s="64">
        <f t="shared" si="43"/>
        <v>-283.14999999999998</v>
      </c>
      <c r="B396" s="64" t="s">
        <v>136</v>
      </c>
      <c r="C396" s="65"/>
      <c r="D396" s="66"/>
      <c r="E396" s="66"/>
      <c r="F396" s="66"/>
      <c r="G396" s="67"/>
      <c r="H396" s="66"/>
      <c r="I396" s="64"/>
      <c r="J396" s="66"/>
    </row>
    <row r="397" spans="1:10" x14ac:dyDescent="0.3">
      <c r="A397" s="64">
        <f t="shared" si="43"/>
        <v>-283.14999999999998</v>
      </c>
      <c r="B397" s="64" t="s">
        <v>135</v>
      </c>
      <c r="C397" s="65"/>
      <c r="D397" s="66"/>
      <c r="E397" s="66"/>
      <c r="F397" s="66"/>
      <c r="G397" s="67"/>
      <c r="H397" s="66"/>
      <c r="I397" s="64"/>
      <c r="J397" s="66"/>
    </row>
    <row r="398" spans="1:10" x14ac:dyDescent="0.3">
      <c r="A398" s="64">
        <f t="shared" si="43"/>
        <v>-283.14999999999998</v>
      </c>
      <c r="B398" s="64" t="s">
        <v>128</v>
      </c>
      <c r="C398" s="65"/>
      <c r="D398" s="66"/>
      <c r="E398" s="66"/>
      <c r="F398" s="66"/>
      <c r="G398" s="67"/>
      <c r="H398" s="66"/>
      <c r="I398" s="64"/>
      <c r="J398" s="66"/>
    </row>
    <row r="399" spans="1:10" x14ac:dyDescent="0.3">
      <c r="A399" s="64">
        <f t="shared" si="43"/>
        <v>-283.14999999999998</v>
      </c>
      <c r="B399" s="64" t="s">
        <v>129</v>
      </c>
      <c r="C399" s="65"/>
      <c r="D399" s="66"/>
      <c r="E399" s="66"/>
      <c r="F399" s="66"/>
      <c r="G399" s="67"/>
      <c r="H399" s="66"/>
      <c r="I399" s="64"/>
      <c r="J399" s="66"/>
    </row>
    <row r="400" spans="1:10" x14ac:dyDescent="0.3">
      <c r="A400" s="64">
        <f t="shared" si="43"/>
        <v>-283.14999999999998</v>
      </c>
      <c r="B400" s="64" t="s">
        <v>146</v>
      </c>
      <c r="C400" s="65">
        <v>53.63</v>
      </c>
      <c r="D400" s="66"/>
      <c r="E400" s="66"/>
      <c r="F400" s="66"/>
      <c r="G400" s="67"/>
      <c r="H400" s="66"/>
      <c r="I400" s="64"/>
      <c r="J400" s="66"/>
    </row>
    <row r="401" spans="1:10" x14ac:dyDescent="0.3">
      <c r="A401" s="64">
        <f t="shared" si="43"/>
        <v>-283.14999999999998</v>
      </c>
      <c r="B401" s="64" t="s">
        <v>147</v>
      </c>
      <c r="C401" s="65"/>
      <c r="D401" s="66"/>
      <c r="E401" s="66"/>
      <c r="F401" s="66"/>
      <c r="G401" s="67"/>
      <c r="H401" s="66"/>
      <c r="I401" s="64"/>
      <c r="J401" s="66"/>
    </row>
    <row r="402" spans="1:10" ht="15" thickBot="1" x14ac:dyDescent="0.35">
      <c r="A402" s="64">
        <f t="shared" si="43"/>
        <v>-283.14999999999998</v>
      </c>
      <c r="B402" s="64" t="s">
        <v>148</v>
      </c>
      <c r="C402" s="65"/>
      <c r="D402" s="66"/>
      <c r="E402" s="66"/>
      <c r="F402" s="66"/>
      <c r="G402" s="67"/>
      <c r="H402" s="66"/>
      <c r="I402" s="64"/>
      <c r="J402" s="66"/>
    </row>
    <row r="403" spans="1:10" ht="15" thickBot="1" x14ac:dyDescent="0.35">
      <c r="A403" s="78">
        <f t="shared" si="43"/>
        <v>-106.77999999999997</v>
      </c>
      <c r="B403" s="78" t="s">
        <v>149</v>
      </c>
      <c r="C403" s="79">
        <v>57.98</v>
      </c>
      <c r="D403" s="80">
        <v>176.37</v>
      </c>
      <c r="E403" s="80">
        <v>7626.91</v>
      </c>
      <c r="F403" s="80">
        <v>0.22</v>
      </c>
      <c r="G403" s="81">
        <f>356.92-346.91</f>
        <v>10.009999999999991</v>
      </c>
      <c r="H403" s="80">
        <v>450</v>
      </c>
      <c r="I403" s="82">
        <f>236.47-225.89</f>
        <v>10.580000000000013</v>
      </c>
      <c r="J403" s="80">
        <v>450</v>
      </c>
    </row>
    <row r="404" spans="1:10" ht="15" thickBot="1" x14ac:dyDescent="0.35">
      <c r="A404" s="78">
        <f t="shared" si="43"/>
        <v>-132.46999999999997</v>
      </c>
      <c r="B404" s="78" t="s">
        <v>84</v>
      </c>
      <c r="C404" s="79">
        <v>62.34</v>
      </c>
      <c r="D404" s="80">
        <v>150.68</v>
      </c>
      <c r="E404" s="80">
        <v>4963</v>
      </c>
      <c r="F404" s="80">
        <v>0.22</v>
      </c>
      <c r="G404" s="81">
        <f>338.08-327.21</f>
        <v>10.870000000000005</v>
      </c>
      <c r="H404" s="80">
        <v>250</v>
      </c>
      <c r="I404" s="82">
        <f>205.78-195.8</f>
        <v>9.9799999999999898</v>
      </c>
      <c r="J404" s="80">
        <v>275</v>
      </c>
    </row>
    <row r="405" spans="1:10" x14ac:dyDescent="0.3">
      <c r="A405" s="6">
        <f t="shared" si="43"/>
        <v>15.260000000000048</v>
      </c>
      <c r="B405" s="6" t="s">
        <v>61</v>
      </c>
      <c r="C405" s="7">
        <v>43.55</v>
      </c>
      <c r="D405" s="4">
        <v>298.41000000000003</v>
      </c>
      <c r="E405" s="4">
        <v>7977.87</v>
      </c>
      <c r="F405" s="4">
        <v>0.25</v>
      </c>
      <c r="G405" s="6">
        <f>459.89-449.78</f>
        <v>10.110000000000014</v>
      </c>
      <c r="H405" s="6">
        <v>850</v>
      </c>
      <c r="I405" s="6">
        <f>362.57-352.21</f>
        <v>10.360000000000014</v>
      </c>
      <c r="J405" s="6">
        <v>650</v>
      </c>
    </row>
    <row r="406" spans="1:10" x14ac:dyDescent="0.3">
      <c r="A406" s="6">
        <f t="shared" si="43"/>
        <v>9.5100000000000477</v>
      </c>
      <c r="B406" s="6" t="s">
        <v>62</v>
      </c>
      <c r="C406" s="7">
        <v>43.7</v>
      </c>
      <c r="D406" s="4">
        <v>292.66000000000003</v>
      </c>
      <c r="E406" s="4">
        <v>7168.4</v>
      </c>
      <c r="F406" s="4">
        <v>0.25</v>
      </c>
      <c r="G406" s="15">
        <f>438.79-428.63</f>
        <v>10.160000000000025</v>
      </c>
      <c r="H406" s="4">
        <v>725</v>
      </c>
      <c r="I406" s="6">
        <f>345.34-335.79</f>
        <v>9.5499999999999545</v>
      </c>
      <c r="J406" s="4">
        <v>600</v>
      </c>
    </row>
    <row r="407" spans="1:10" x14ac:dyDescent="0.3">
      <c r="A407" s="6">
        <f t="shared" si="43"/>
        <v>4.6000000000000227</v>
      </c>
      <c r="B407" s="6" t="s">
        <v>63</v>
      </c>
      <c r="C407" s="7">
        <v>44.71</v>
      </c>
      <c r="D407" s="4">
        <v>287.75</v>
      </c>
      <c r="E407" s="4">
        <v>6816.4</v>
      </c>
      <c r="F407" s="4">
        <v>0.28000000000000003</v>
      </c>
      <c r="G407" s="15">
        <f>463.55-453.27</f>
        <v>10.28000000000003</v>
      </c>
      <c r="H407" s="4">
        <v>650</v>
      </c>
      <c r="I407" s="6">
        <f>342.49-332.58</f>
        <v>9.910000000000025</v>
      </c>
      <c r="J407" s="4">
        <v>700</v>
      </c>
    </row>
    <row r="408" spans="1:10" x14ac:dyDescent="0.3">
      <c r="A408" s="6">
        <f t="shared" si="43"/>
        <v>1</v>
      </c>
      <c r="B408" s="6" t="s">
        <v>64</v>
      </c>
      <c r="C408" s="6">
        <v>44.99</v>
      </c>
      <c r="D408" s="6">
        <v>284.14999999999998</v>
      </c>
      <c r="E408" s="6">
        <v>6513.52</v>
      </c>
      <c r="F408" s="6">
        <v>0.28000000000000003</v>
      </c>
      <c r="G408" s="6">
        <f>474.33-463.88</f>
        <v>10.449999999999989</v>
      </c>
      <c r="H408" s="6">
        <v>550</v>
      </c>
      <c r="I408" s="6">
        <f>340.37-330.65</f>
        <v>9.7200000000000273</v>
      </c>
      <c r="J408" s="6">
        <v>700</v>
      </c>
    </row>
    <row r="409" spans="1:10" x14ac:dyDescent="0.3">
      <c r="A409" s="6">
        <f t="shared" si="43"/>
        <v>-0.97999999999996135</v>
      </c>
      <c r="B409" s="6" t="s">
        <v>107</v>
      </c>
      <c r="C409" s="7">
        <v>44.17</v>
      </c>
      <c r="D409" s="4">
        <v>282.17</v>
      </c>
      <c r="E409" s="4">
        <v>6313.89</v>
      </c>
      <c r="F409" s="4">
        <v>0.25</v>
      </c>
      <c r="G409" s="15">
        <f>456.09-446.98</f>
        <v>9.1099999999999568</v>
      </c>
      <c r="H409" s="4">
        <v>500</v>
      </c>
      <c r="I409" s="6">
        <f>342-331</f>
        <v>11</v>
      </c>
      <c r="J409" s="4">
        <v>500</v>
      </c>
    </row>
    <row r="410" spans="1:10" ht="15" thickBot="1" x14ac:dyDescent="0.35">
      <c r="A410" s="6">
        <f t="shared" si="43"/>
        <v>-1.3299999999999841</v>
      </c>
      <c r="B410" s="6" t="s">
        <v>108</v>
      </c>
      <c r="C410" s="7">
        <v>43.71</v>
      </c>
      <c r="D410" s="4">
        <v>281.82</v>
      </c>
      <c r="E410" s="4">
        <v>6216.14</v>
      </c>
      <c r="F410" s="4">
        <v>0.25</v>
      </c>
      <c r="G410" s="15">
        <f>471.28-461.97</f>
        <v>9.3099999999999454</v>
      </c>
      <c r="H410" s="4">
        <v>425</v>
      </c>
      <c r="I410" s="6">
        <f>344.59-333.88</f>
        <v>10.70999999999998</v>
      </c>
      <c r="J410" s="4">
        <v>525</v>
      </c>
    </row>
    <row r="411" spans="1:10" ht="15.6" thickTop="1" thickBot="1" x14ac:dyDescent="0.35">
      <c r="A411" s="51"/>
      <c r="B411" s="52" t="s">
        <v>86</v>
      </c>
      <c r="C411" s="51"/>
      <c r="D411" s="51"/>
      <c r="E411" s="51"/>
      <c r="F411" s="51"/>
      <c r="G411" s="51"/>
      <c r="H411" s="51"/>
      <c r="I411" s="51"/>
      <c r="J411" s="51"/>
    </row>
    <row r="412" spans="1:10" ht="15.6" thickTop="1" thickBot="1" x14ac:dyDescent="0.35"/>
    <row r="413" spans="1:10" ht="19.2" thickTop="1" thickBot="1" x14ac:dyDescent="0.35">
      <c r="A413" s="135" t="s">
        <v>259</v>
      </c>
      <c r="B413" s="136"/>
      <c r="C413" s="136"/>
      <c r="D413" s="136"/>
      <c r="E413" s="136"/>
      <c r="F413" s="136"/>
      <c r="G413" s="136"/>
      <c r="H413" s="136"/>
      <c r="I413" s="136"/>
      <c r="J413" s="136"/>
    </row>
    <row r="414" spans="1:10" ht="42.6" thickTop="1" thickBot="1" x14ac:dyDescent="0.35">
      <c r="A414" s="11" t="s">
        <v>33</v>
      </c>
      <c r="B414" s="11" t="s">
        <v>15</v>
      </c>
      <c r="C414" s="11" t="s">
        <v>22</v>
      </c>
      <c r="D414" s="11" t="s">
        <v>17</v>
      </c>
      <c r="E414" s="11" t="s">
        <v>16</v>
      </c>
      <c r="F414" s="11" t="s">
        <v>28</v>
      </c>
      <c r="G414" s="11" t="s">
        <v>20</v>
      </c>
      <c r="H414" s="11" t="s">
        <v>29</v>
      </c>
      <c r="I414" s="11" t="s">
        <v>21</v>
      </c>
      <c r="J414" s="11" t="s">
        <v>30</v>
      </c>
    </row>
    <row r="415" spans="1:10" ht="15.6" thickTop="1" thickBot="1" x14ac:dyDescent="0.35">
      <c r="A415" s="83">
        <v>20.980000000000018</v>
      </c>
      <c r="B415" s="83" t="s">
        <v>27</v>
      </c>
      <c r="C415" s="83">
        <v>42.9</v>
      </c>
      <c r="D415" s="84">
        <v>304.13</v>
      </c>
      <c r="E415" s="84">
        <v>7474.89</v>
      </c>
      <c r="F415" s="84">
        <v>0.31</v>
      </c>
      <c r="G415" s="85">
        <v>10.17</v>
      </c>
      <c r="H415" s="85">
        <v>900</v>
      </c>
      <c r="I415" s="85">
        <v>11.2</v>
      </c>
      <c r="J415" s="85">
        <v>700</v>
      </c>
    </row>
    <row r="416" spans="1:10" x14ac:dyDescent="0.3">
      <c r="A416" s="86">
        <f t="shared" ref="A416:A432" si="44">D416-273.15-10</f>
        <v>-283.14999999999998</v>
      </c>
      <c r="B416" s="86" t="s">
        <v>138</v>
      </c>
      <c r="C416" s="87"/>
      <c r="D416" s="87"/>
      <c r="E416" s="87"/>
      <c r="F416" s="87"/>
      <c r="G416" s="88"/>
      <c r="H416" s="87"/>
      <c r="I416" s="86"/>
      <c r="J416" s="87"/>
    </row>
    <row r="417" spans="1:10" x14ac:dyDescent="0.3">
      <c r="A417" s="64">
        <f t="shared" si="44"/>
        <v>-283.14999999999998</v>
      </c>
      <c r="B417" s="64" t="s">
        <v>137</v>
      </c>
      <c r="C417" s="65"/>
      <c r="D417" s="66"/>
      <c r="E417" s="66"/>
      <c r="F417" s="66"/>
      <c r="G417" s="67"/>
      <c r="H417" s="66"/>
      <c r="I417" s="64"/>
      <c r="J417" s="66"/>
    </row>
    <row r="418" spans="1:10" x14ac:dyDescent="0.3">
      <c r="A418" s="64">
        <f t="shared" si="44"/>
        <v>-283.14999999999998</v>
      </c>
      <c r="B418" s="64" t="s">
        <v>136</v>
      </c>
      <c r="C418" s="65"/>
      <c r="D418" s="66"/>
      <c r="E418" s="66"/>
      <c r="F418" s="66"/>
      <c r="G418" s="67"/>
      <c r="H418" s="66"/>
      <c r="I418" s="64"/>
      <c r="J418" s="66"/>
    </row>
    <row r="419" spans="1:10" x14ac:dyDescent="0.3">
      <c r="A419" s="64">
        <f t="shared" si="44"/>
        <v>-283.14999999999998</v>
      </c>
      <c r="B419" s="64" t="s">
        <v>135</v>
      </c>
      <c r="C419" s="65"/>
      <c r="D419" s="66"/>
      <c r="E419" s="66"/>
      <c r="F419" s="66"/>
      <c r="G419" s="67"/>
      <c r="H419" s="66"/>
      <c r="I419" s="64"/>
      <c r="J419" s="66"/>
    </row>
    <row r="420" spans="1:10" x14ac:dyDescent="0.3">
      <c r="A420" s="64">
        <f t="shared" si="44"/>
        <v>-283.14999999999998</v>
      </c>
      <c r="B420" s="64" t="s">
        <v>128</v>
      </c>
      <c r="C420" s="65"/>
      <c r="D420" s="66"/>
      <c r="E420" s="66"/>
      <c r="F420" s="66"/>
      <c r="G420" s="67"/>
      <c r="H420" s="66"/>
      <c r="I420" s="64"/>
      <c r="J420" s="66"/>
    </row>
    <row r="421" spans="1:10" x14ac:dyDescent="0.3">
      <c r="A421" s="64">
        <f t="shared" si="44"/>
        <v>-283.14999999999998</v>
      </c>
      <c r="B421" s="64" t="s">
        <v>129</v>
      </c>
      <c r="C421" s="65"/>
      <c r="D421" s="66"/>
      <c r="E421" s="66"/>
      <c r="F421" s="66"/>
      <c r="G421" s="67"/>
      <c r="H421" s="66"/>
      <c r="I421" s="64"/>
      <c r="J421" s="66"/>
    </row>
    <row r="422" spans="1:10" x14ac:dyDescent="0.3">
      <c r="A422" s="64">
        <f t="shared" si="44"/>
        <v>-283.14999999999998</v>
      </c>
      <c r="B422" s="64" t="s">
        <v>146</v>
      </c>
      <c r="C422" s="65"/>
      <c r="D422" s="66"/>
      <c r="E422" s="66"/>
      <c r="F422" s="66"/>
      <c r="G422" s="67"/>
      <c r="H422" s="66"/>
      <c r="I422" s="64"/>
      <c r="J422" s="66"/>
    </row>
    <row r="423" spans="1:10" x14ac:dyDescent="0.3">
      <c r="A423" s="64">
        <f t="shared" si="44"/>
        <v>-283.14999999999998</v>
      </c>
      <c r="B423" s="64" t="s">
        <v>147</v>
      </c>
      <c r="C423" s="65"/>
      <c r="D423" s="66"/>
      <c r="E423" s="66"/>
      <c r="F423" s="66"/>
      <c r="G423" s="67"/>
      <c r="H423" s="66"/>
      <c r="I423" s="64"/>
      <c r="J423" s="66"/>
    </row>
    <row r="424" spans="1:10" ht="15" thickBot="1" x14ac:dyDescent="0.35">
      <c r="A424" s="64">
        <f t="shared" si="44"/>
        <v>-283.14999999999998</v>
      </c>
      <c r="B424" s="64" t="s">
        <v>148</v>
      </c>
      <c r="C424" s="65"/>
      <c r="D424" s="66"/>
      <c r="E424" s="66"/>
      <c r="F424" s="66"/>
      <c r="G424" s="67"/>
      <c r="H424" s="66"/>
      <c r="I424" s="64"/>
      <c r="J424" s="66"/>
    </row>
    <row r="425" spans="1:10" ht="15" thickBot="1" x14ac:dyDescent="0.35">
      <c r="A425" s="78">
        <f t="shared" si="44"/>
        <v>-106.77999999999997</v>
      </c>
      <c r="B425" s="78" t="s">
        <v>149</v>
      </c>
      <c r="C425" s="79">
        <v>57.98</v>
      </c>
      <c r="D425" s="80">
        <v>176.37</v>
      </c>
      <c r="E425" s="80">
        <v>7626.91</v>
      </c>
      <c r="F425" s="80">
        <v>0.22</v>
      </c>
      <c r="G425" s="81">
        <f>356.92-346.91</f>
        <v>10.009999999999991</v>
      </c>
      <c r="H425" s="80">
        <v>450</v>
      </c>
      <c r="I425" s="82">
        <f>236.47-225.89</f>
        <v>10.580000000000013</v>
      </c>
      <c r="J425" s="80">
        <v>450</v>
      </c>
    </row>
    <row r="426" spans="1:10" ht="15" thickBot="1" x14ac:dyDescent="0.35">
      <c r="A426" s="78">
        <f t="shared" si="44"/>
        <v>-132.46999999999997</v>
      </c>
      <c r="B426" s="78" t="s">
        <v>84</v>
      </c>
      <c r="C426" s="79">
        <v>62.34</v>
      </c>
      <c r="D426" s="80">
        <v>150.68</v>
      </c>
      <c r="E426" s="80">
        <v>4963</v>
      </c>
      <c r="F426" s="80">
        <v>0.22</v>
      </c>
      <c r="G426" s="81">
        <f>338.08-327.21</f>
        <v>10.870000000000005</v>
      </c>
      <c r="H426" s="80">
        <v>250</v>
      </c>
      <c r="I426" s="82">
        <f>205.78-195.8</f>
        <v>9.9799999999999898</v>
      </c>
      <c r="J426" s="80">
        <v>275</v>
      </c>
    </row>
    <row r="427" spans="1:10" x14ac:dyDescent="0.3">
      <c r="A427" s="6">
        <f t="shared" si="44"/>
        <v>15.260000000000048</v>
      </c>
      <c r="B427" s="6" t="s">
        <v>61</v>
      </c>
      <c r="C427" s="7">
        <v>43.55</v>
      </c>
      <c r="D427" s="4">
        <v>298.41000000000003</v>
      </c>
      <c r="E427" s="4">
        <v>7977.87</v>
      </c>
      <c r="F427" s="4">
        <v>0.25</v>
      </c>
      <c r="G427" s="6">
        <f>459.89-449.78</f>
        <v>10.110000000000014</v>
      </c>
      <c r="H427" s="6">
        <v>850</v>
      </c>
      <c r="I427" s="6">
        <f>362.57-352.21</f>
        <v>10.360000000000014</v>
      </c>
      <c r="J427" s="6">
        <v>650</v>
      </c>
    </row>
    <row r="428" spans="1:10" x14ac:dyDescent="0.3">
      <c r="A428" s="6">
        <f t="shared" si="44"/>
        <v>9.5100000000000477</v>
      </c>
      <c r="B428" s="6" t="s">
        <v>62</v>
      </c>
      <c r="C428" s="7">
        <v>43.7</v>
      </c>
      <c r="D428" s="4">
        <v>292.66000000000003</v>
      </c>
      <c r="E428" s="4">
        <v>7168.4</v>
      </c>
      <c r="F428" s="4">
        <v>0.25</v>
      </c>
      <c r="G428" s="15">
        <f>438.79-428.63</f>
        <v>10.160000000000025</v>
      </c>
      <c r="H428" s="4">
        <v>725</v>
      </c>
      <c r="I428" s="6">
        <f>345.34-335.79</f>
        <v>9.5499999999999545</v>
      </c>
      <c r="J428" s="4">
        <v>600</v>
      </c>
    </row>
    <row r="429" spans="1:10" x14ac:dyDescent="0.3">
      <c r="A429" s="6">
        <f t="shared" si="44"/>
        <v>4.6000000000000227</v>
      </c>
      <c r="B429" s="6" t="s">
        <v>63</v>
      </c>
      <c r="C429" s="7">
        <v>44.71</v>
      </c>
      <c r="D429" s="4">
        <v>287.75</v>
      </c>
      <c r="E429" s="4">
        <v>6816.4</v>
      </c>
      <c r="F429" s="4">
        <v>0.28000000000000003</v>
      </c>
      <c r="G429" s="15">
        <f>463.55-453.27</f>
        <v>10.28000000000003</v>
      </c>
      <c r="H429" s="4">
        <v>650</v>
      </c>
      <c r="I429" s="6">
        <f>342.49-332.58</f>
        <v>9.910000000000025</v>
      </c>
      <c r="J429" s="4">
        <v>700</v>
      </c>
    </row>
    <row r="430" spans="1:10" x14ac:dyDescent="0.3">
      <c r="A430" s="6">
        <f t="shared" si="44"/>
        <v>1</v>
      </c>
      <c r="B430" s="6" t="s">
        <v>64</v>
      </c>
      <c r="C430" s="6">
        <v>44.99</v>
      </c>
      <c r="D430" s="6">
        <v>284.14999999999998</v>
      </c>
      <c r="E430" s="6">
        <v>6513.52</v>
      </c>
      <c r="F430" s="6">
        <v>0.28000000000000003</v>
      </c>
      <c r="G430" s="6">
        <f>474.33-463.88</f>
        <v>10.449999999999989</v>
      </c>
      <c r="H430" s="6">
        <v>550</v>
      </c>
      <c r="I430" s="6">
        <f>340.37-330.65</f>
        <v>9.7200000000000273</v>
      </c>
      <c r="J430" s="6">
        <v>700</v>
      </c>
    </row>
    <row r="431" spans="1:10" x14ac:dyDescent="0.3">
      <c r="A431" s="6">
        <f t="shared" si="44"/>
        <v>-0.97999999999996135</v>
      </c>
      <c r="B431" s="6" t="s">
        <v>107</v>
      </c>
      <c r="C431" s="7">
        <v>44.17</v>
      </c>
      <c r="D431" s="4">
        <v>282.17</v>
      </c>
      <c r="E431" s="4">
        <v>6313.89</v>
      </c>
      <c r="F431" s="4">
        <v>0.25</v>
      </c>
      <c r="G431" s="15">
        <f>456.09-446.98</f>
        <v>9.1099999999999568</v>
      </c>
      <c r="H431" s="4">
        <v>500</v>
      </c>
      <c r="I431" s="6">
        <f>342-331</f>
        <v>11</v>
      </c>
      <c r="J431" s="4">
        <v>500</v>
      </c>
    </row>
    <row r="432" spans="1:10" ht="15" thickBot="1" x14ac:dyDescent="0.35">
      <c r="A432" s="6">
        <f t="shared" si="44"/>
        <v>-1.3299999999999841</v>
      </c>
      <c r="B432" s="6" t="s">
        <v>108</v>
      </c>
      <c r="C432" s="7">
        <v>43.71</v>
      </c>
      <c r="D432" s="4">
        <v>281.82</v>
      </c>
      <c r="E432" s="4">
        <v>6216.14</v>
      </c>
      <c r="F432" s="4">
        <v>0.25</v>
      </c>
      <c r="G432" s="15">
        <f>471.28-461.97</f>
        <v>9.3099999999999454</v>
      </c>
      <c r="H432" s="4">
        <v>425</v>
      </c>
      <c r="I432" s="6">
        <f>344.59-333.88</f>
        <v>10.70999999999998</v>
      </c>
      <c r="J432" s="4">
        <v>525</v>
      </c>
    </row>
    <row r="433" spans="1:10" ht="15.6" thickTop="1" thickBot="1" x14ac:dyDescent="0.35">
      <c r="A433" s="51"/>
      <c r="B433" s="52" t="s">
        <v>86</v>
      </c>
      <c r="C433" s="51"/>
      <c r="D433" s="51"/>
      <c r="E433" s="51"/>
      <c r="F433" s="51"/>
      <c r="G433" s="51"/>
      <c r="H433" s="51"/>
      <c r="I433" s="51"/>
      <c r="J433" s="51"/>
    </row>
    <row r="434" spans="1:10" ht="15.6" thickTop="1" thickBot="1" x14ac:dyDescent="0.35"/>
    <row r="435" spans="1:10" ht="15.6" thickTop="1" thickBot="1" x14ac:dyDescent="0.35">
      <c r="C435" s="16"/>
      <c r="D435" s="96" t="s">
        <v>261</v>
      </c>
      <c r="E435" s="97" t="s">
        <v>262</v>
      </c>
      <c r="F435" s="98" t="s">
        <v>263</v>
      </c>
    </row>
    <row r="436" spans="1:10" ht="15" thickTop="1" x14ac:dyDescent="0.3">
      <c r="C436" s="106" t="s">
        <v>284</v>
      </c>
      <c r="D436" s="107">
        <v>304.13</v>
      </c>
      <c r="E436" s="107">
        <v>7377.3</v>
      </c>
      <c r="F436" s="108">
        <v>467.6</v>
      </c>
    </row>
    <row r="437" spans="1:10" x14ac:dyDescent="0.3">
      <c r="C437" s="109" t="s">
        <v>285</v>
      </c>
      <c r="D437" s="110">
        <v>234</v>
      </c>
      <c r="E437" s="110">
        <v>4460.7</v>
      </c>
      <c r="F437" s="111">
        <v>562.47</v>
      </c>
    </row>
    <row r="438" spans="1:10" x14ac:dyDescent="0.3">
      <c r="C438" s="109" t="s">
        <v>286</v>
      </c>
      <c r="D438" s="110">
        <v>227.51</v>
      </c>
      <c r="E438" s="110">
        <v>3750</v>
      </c>
      <c r="F438" s="111">
        <v>625.70000000000005</v>
      </c>
    </row>
    <row r="439" spans="1:10" x14ac:dyDescent="0.3">
      <c r="C439" s="109" t="s">
        <v>260</v>
      </c>
      <c r="D439" s="110">
        <v>209.48</v>
      </c>
      <c r="E439" s="110">
        <v>5525</v>
      </c>
      <c r="F439" s="111">
        <v>909.21</v>
      </c>
    </row>
    <row r="440" spans="1:10" ht="15" thickBot="1" x14ac:dyDescent="0.35">
      <c r="C440" s="116" t="s">
        <v>287</v>
      </c>
      <c r="D440" s="117">
        <v>190.56</v>
      </c>
      <c r="E440" s="117">
        <v>4599.2</v>
      </c>
      <c r="F440" s="118">
        <v>162.66</v>
      </c>
    </row>
    <row r="441" spans="1:10" ht="15" thickTop="1" x14ac:dyDescent="0.3">
      <c r="C441" s="119" t="s">
        <v>264</v>
      </c>
      <c r="D441" s="120">
        <v>150687</v>
      </c>
      <c r="E441" s="121">
        <v>4863</v>
      </c>
      <c r="F441" s="122">
        <v>535.59</v>
      </c>
    </row>
    <row r="442" spans="1:10" x14ac:dyDescent="0.3">
      <c r="C442" s="123" t="s">
        <v>265</v>
      </c>
      <c r="D442" s="124">
        <v>132.86000000000001</v>
      </c>
      <c r="E442" s="124">
        <v>3494</v>
      </c>
      <c r="F442" s="125">
        <v>303.89999999999998</v>
      </c>
    </row>
    <row r="443" spans="1:10" ht="15" thickBot="1" x14ac:dyDescent="0.35">
      <c r="C443" s="126" t="s">
        <v>288</v>
      </c>
      <c r="D443" s="127">
        <v>126192</v>
      </c>
      <c r="E443" s="128">
        <v>3395.8</v>
      </c>
      <c r="F443" s="129">
        <v>313.29000000000002</v>
      </c>
    </row>
    <row r="444" spans="1:10" ht="15" thickTop="1" x14ac:dyDescent="0.3">
      <c r="C444" s="112" t="s">
        <v>289</v>
      </c>
      <c r="D444" s="113">
        <v>144414</v>
      </c>
      <c r="E444" s="114">
        <v>5172.3999999999996</v>
      </c>
      <c r="F444" s="115">
        <v>592.86</v>
      </c>
    </row>
    <row r="445" spans="1:10" x14ac:dyDescent="0.3">
      <c r="C445" s="99" t="s">
        <v>266</v>
      </c>
      <c r="D445" s="105">
        <v>289733</v>
      </c>
      <c r="E445" s="100">
        <v>5842</v>
      </c>
      <c r="F445" s="101">
        <v>1102.8599999999999</v>
      </c>
    </row>
    <row r="446" spans="1:10" ht="15" thickBot="1" x14ac:dyDescent="0.35">
      <c r="C446" s="102" t="s">
        <v>267</v>
      </c>
      <c r="D446" s="103">
        <v>44.4</v>
      </c>
      <c r="E446" s="103">
        <v>2661.63</v>
      </c>
      <c r="F446" s="104">
        <v>486.31</v>
      </c>
    </row>
    <row r="447" spans="1:10" ht="15" thickTop="1" x14ac:dyDescent="0.3"/>
  </sheetData>
  <mergeCells count="22">
    <mergeCell ref="A98:J98"/>
    <mergeCell ref="A136:J136"/>
    <mergeCell ref="A25:J25"/>
    <mergeCell ref="A1:J1"/>
    <mergeCell ref="A37:J37"/>
    <mergeCell ref="A51:J51"/>
    <mergeCell ref="A63:J63"/>
    <mergeCell ref="A86:J86"/>
    <mergeCell ref="A158:J158"/>
    <mergeCell ref="A190:J190"/>
    <mergeCell ref="A215:J215"/>
    <mergeCell ref="A227:J227"/>
    <mergeCell ref="A239:J239"/>
    <mergeCell ref="A333:J333"/>
    <mergeCell ref="A362:J362"/>
    <mergeCell ref="A391:J391"/>
    <mergeCell ref="A413:J413"/>
    <mergeCell ref="A251:J251"/>
    <mergeCell ref="A263:J263"/>
    <mergeCell ref="A286:J286"/>
    <mergeCell ref="A298:J298"/>
    <mergeCell ref="A321:J321"/>
  </mergeCells>
  <phoneticPr fontId="6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F1F9EB-3CBA-4037-ABBF-D0DDF1B93A77}">
  <dimension ref="A1"/>
  <sheetViews>
    <sheetView workbookViewId="0">
      <selection activeCell="K1" sqref="K1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F42D3F-7E8C-4D8C-90AE-1812CA39AE35}">
  <sheetPr codeName="Hoja2"/>
  <dimension ref="A1"/>
  <sheetViews>
    <sheetView workbookViewId="0">
      <selection activeCell="A6" sqref="A6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1221E6-94EC-49E8-91D1-B9849061C903}">
  <sheetPr codeName="Hoja3"/>
  <dimension ref="A1"/>
  <sheetViews>
    <sheetView topLeftCell="A6" workbookViewId="0">
      <selection activeCell="Q11" sqref="Q11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A45528-09D0-4033-B263-05883DF0B192}">
  <sheetPr codeName="Hoja4"/>
  <dimension ref="A1"/>
  <sheetViews>
    <sheetView workbookViewId="0">
      <selection activeCell="A2" sqref="A2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977190-E52A-429B-9196-13C0AB8DD23A}">
  <sheetPr codeName="Hoja5"/>
  <dimension ref="Q15"/>
  <sheetViews>
    <sheetView workbookViewId="0">
      <selection activeCell="Q15" sqref="Q15"/>
    </sheetView>
  </sheetViews>
  <sheetFormatPr baseColWidth="10" defaultRowHeight="14.4" x14ac:dyDescent="0.3"/>
  <sheetData>
    <row r="15" spans="17:17" x14ac:dyDescent="0.3">
      <c r="Q15">
        <f>273.15-209.48</f>
        <v>63.669999999999987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D0F512-E34A-49B1-A5D4-CB112B956A47}">
  <sheetPr codeName="Hoja6"/>
  <dimension ref="A1"/>
  <sheetViews>
    <sheetView workbookViewId="0">
      <selection activeCell="A4" sqref="A4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21</vt:i4>
      </vt:variant>
    </vt:vector>
  </HeadingPairs>
  <TitlesOfParts>
    <vt:vector size="21" baseType="lpstr">
      <vt:lpstr>Hoja3</vt:lpstr>
      <vt:lpstr>Hoja1</vt:lpstr>
      <vt:lpstr>Hoja2</vt:lpstr>
      <vt:lpstr>sCO2 Diagram</vt:lpstr>
      <vt:lpstr>100%sCO2</vt:lpstr>
      <vt:lpstr>100%sCF4(R14)</vt:lpstr>
      <vt:lpstr>100%Kr CIT223K</vt:lpstr>
      <vt:lpstr>100%Kr</vt:lpstr>
      <vt:lpstr>55%N2+45%Xe</vt:lpstr>
      <vt:lpstr>100%sNF3</vt:lpstr>
      <vt:lpstr>100%N2</vt:lpstr>
      <vt:lpstr>60%N2+40%O2</vt:lpstr>
      <vt:lpstr>70%_sCO2+30%_Ar</vt:lpstr>
      <vt:lpstr>80%_sCO2+20%_Kr</vt:lpstr>
      <vt:lpstr>70%_sCO2+30%_CO</vt:lpstr>
      <vt:lpstr>70%_sCO2+30%_CH4</vt:lpstr>
      <vt:lpstr>70%_sCO2+30%_NF3</vt:lpstr>
      <vt:lpstr>50%_sCO2+50%_NF3</vt:lpstr>
      <vt:lpstr>100%Neon</vt:lpstr>
      <vt:lpstr>100%Ar</vt:lpstr>
      <vt:lpstr>TurboFan Paper Data Input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Enriquez, Luis (DXC Luxoft)</dc:creator>
  <cp:lastModifiedBy>Enriquez, Luis (DXC Luxoft)</cp:lastModifiedBy>
  <dcterms:created xsi:type="dcterms:W3CDTF">2025-02-06T09:31:31Z</dcterms:created>
  <dcterms:modified xsi:type="dcterms:W3CDTF">2025-05-09T08:29:22Z</dcterms:modified>
</cp:coreProperties>
</file>